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vandunem\Documents\2024\3. Março\34. Orçamento piloto\"/>
    </mc:Choice>
  </mc:AlternateContent>
  <bookViews>
    <workbookView xWindow="0" yWindow="0" windowWidth="23040" windowHeight="9192"/>
  </bookViews>
  <sheets>
    <sheet name="Início" sheetId="6" r:id="rId1"/>
    <sheet name="Jan" sheetId="3" r:id="rId2"/>
    <sheet name="Jul" sheetId="1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3" l="1"/>
  <c r="E59" i="3"/>
  <c r="E60" i="3"/>
  <c r="E61" i="3"/>
  <c r="E62" i="3"/>
  <c r="E63" i="3"/>
  <c r="E64" i="3"/>
  <c r="E66" i="3" s="1"/>
  <c r="E65" i="3"/>
  <c r="C40" i="3"/>
  <c r="C39" i="3"/>
  <c r="J15" i="3"/>
  <c r="J43" i="3" l="1"/>
  <c r="J36" i="3"/>
  <c r="E15" i="3"/>
  <c r="E16" i="3"/>
  <c r="E17" i="3"/>
  <c r="E18" i="3"/>
  <c r="E19" i="3"/>
  <c r="E20" i="3"/>
  <c r="E21" i="3"/>
  <c r="E22" i="3"/>
  <c r="E23" i="3"/>
  <c r="E24" i="3"/>
  <c r="E28" i="3"/>
  <c r="E51" i="3"/>
  <c r="E25" i="3" l="1"/>
  <c r="E65" i="14"/>
  <c r="E64" i="14"/>
  <c r="E63" i="14"/>
  <c r="E62" i="14"/>
  <c r="J61" i="14"/>
  <c r="E61" i="14"/>
  <c r="E66" i="14" s="1"/>
  <c r="E60" i="14"/>
  <c r="E59" i="14"/>
  <c r="J58" i="14"/>
  <c r="J57" i="14"/>
  <c r="J56" i="14"/>
  <c r="D56" i="14"/>
  <c r="J55" i="14"/>
  <c r="J59" i="14" s="1"/>
  <c r="E55" i="14"/>
  <c r="E54" i="14"/>
  <c r="E53" i="14"/>
  <c r="I52" i="14"/>
  <c r="E52" i="14"/>
  <c r="J51" i="14"/>
  <c r="E51" i="14"/>
  <c r="E56" i="14" s="1"/>
  <c r="J50" i="14"/>
  <c r="J49" i="14"/>
  <c r="J52" i="14" s="1"/>
  <c r="D48" i="14"/>
  <c r="C48" i="14"/>
  <c r="E47" i="14"/>
  <c r="E48" i="14" s="1"/>
  <c r="J46" i="14"/>
  <c r="E46" i="14"/>
  <c r="E45" i="14"/>
  <c r="E42" i="14"/>
  <c r="D42" i="14"/>
  <c r="C42" i="14"/>
  <c r="E41" i="14"/>
  <c r="J40" i="14"/>
  <c r="E40" i="14"/>
  <c r="J39" i="14"/>
  <c r="E39" i="14"/>
  <c r="J38" i="14"/>
  <c r="E38" i="14"/>
  <c r="J37" i="14"/>
  <c r="J36" i="14"/>
  <c r="E35" i="14"/>
  <c r="D35" i="14"/>
  <c r="C35" i="14"/>
  <c r="E34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J33" i="14" s="1"/>
  <c r="D25" i="14"/>
  <c r="C25" i="14"/>
  <c r="H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J24" i="14" s="1"/>
  <c r="I17" i="14"/>
  <c r="J63" i="14" s="1"/>
  <c r="H4" i="14" s="1"/>
  <c r="E17" i="14"/>
  <c r="J16" i="14"/>
  <c r="E16" i="14"/>
  <c r="J15" i="14"/>
  <c r="E15" i="14"/>
  <c r="C12" i="14"/>
  <c r="C7" i="14"/>
  <c r="E25" i="14" l="1"/>
  <c r="J65" i="14"/>
  <c r="I24" i="14"/>
  <c r="D25" i="3" l="1"/>
  <c r="C42" i="3"/>
  <c r="C12" i="3" l="1"/>
  <c r="C48" i="3" l="1"/>
  <c r="C35" i="3"/>
  <c r="D35" i="3"/>
  <c r="C25" i="3" l="1"/>
  <c r="H24" i="3"/>
  <c r="J46" i="3" l="1"/>
  <c r="J16" i="3"/>
  <c r="J17" i="3"/>
  <c r="J18" i="3"/>
  <c r="J19" i="3"/>
  <c r="J20" i="3"/>
  <c r="J21" i="3"/>
  <c r="J22" i="3"/>
  <c r="J23" i="3"/>
  <c r="I24" i="3"/>
  <c r="J27" i="3"/>
  <c r="J28" i="3"/>
  <c r="E29" i="3"/>
  <c r="J29" i="3"/>
  <c r="E30" i="3"/>
  <c r="J30" i="3"/>
  <c r="E31" i="3"/>
  <c r="J31" i="3"/>
  <c r="E32" i="3"/>
  <c r="J32" i="3"/>
  <c r="E33" i="3"/>
  <c r="J33" i="3"/>
  <c r="E34" i="3"/>
  <c r="J37" i="3"/>
  <c r="E38" i="3"/>
  <c r="J38" i="3"/>
  <c r="E39" i="3"/>
  <c r="J39" i="3"/>
  <c r="E40" i="3"/>
  <c r="E41" i="3"/>
  <c r="D42" i="3"/>
  <c r="E45" i="3"/>
  <c r="E46" i="3"/>
  <c r="E48" i="3" s="1"/>
  <c r="E47" i="3"/>
  <c r="D48" i="3"/>
  <c r="J49" i="3"/>
  <c r="J50" i="3"/>
  <c r="J51" i="3"/>
  <c r="E52" i="3"/>
  <c r="I52" i="3"/>
  <c r="E53" i="3"/>
  <c r="E54" i="3"/>
  <c r="E55" i="3"/>
  <c r="J55" i="3"/>
  <c r="D56" i="3"/>
  <c r="J56" i="3"/>
  <c r="J57" i="3"/>
  <c r="J58" i="3"/>
  <c r="J63" i="3"/>
  <c r="H4" i="3" s="1"/>
  <c r="E56" i="3" l="1"/>
  <c r="J59" i="3"/>
  <c r="J65" i="3"/>
  <c r="E42" i="3"/>
  <c r="E35" i="3"/>
  <c r="J52" i="3"/>
  <c r="J40" i="3"/>
  <c r="J24" i="3"/>
</calcChain>
</file>

<file path=xl/comments1.xml><?xml version="1.0" encoding="utf-8"?>
<comments xmlns="http://schemas.openxmlformats.org/spreadsheetml/2006/main">
  <authors>
    <author>Antonio Van-Dúnem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Antonio Van-Dúnem:</t>
        </r>
        <r>
          <rPr>
            <sz val="9"/>
            <color indexed="81"/>
            <rFont val="Tahoma"/>
            <charset val="1"/>
          </rPr>
          <t xml:space="preserve">
Bankrate: https://www.bankrate.com/mortgages/calculators/ advises following the 28% rule for your mortgage payment, meaning that including principal, interest, taxes, and insurance, your housing cost shouldn't exceed 28% of your gross income.
NerdWallet: https://www.zillow.com/rent-affordability-calculator mentions the 30% rent rule as a common guideline, but acknowledges it's not a one-size-fits-all approach.
Credit Karma: https://www.creditkarma.com/insights/i/study-rent-payment-boost-credit-score cites the 30% of income for rent as a standard recommendation, but emphasizes the importance of considering other factors like location and living situation.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Antonio Van-Dúnem:</t>
        </r>
        <r>
          <rPr>
            <sz val="9"/>
            <color indexed="81"/>
            <rFont val="Tahoma"/>
            <family val="2"/>
          </rPr>
          <t xml:space="preserve">
Processo desenvolvido por consultores financeiros do Morgan Stanley, bem como um relatório do JP Morgan Chase sobre a capacidade das familias de culmatar questões urgentes (https://www.morganstanley.com/articles/creating-a-budget-your-guide) (https://www.jpmorganchase.com/institute/research/household-income-spending/insight-financial-stress-test)</t>
        </r>
      </text>
    </comment>
  </commentList>
</comments>
</file>

<file path=xl/sharedStrings.xml><?xml version="1.0" encoding="utf-8"?>
<sst xmlns="http://schemas.openxmlformats.org/spreadsheetml/2006/main" count="303" uniqueCount="120">
  <si>
    <t>Sobre o Modelo</t>
  </si>
  <si>
    <t>O Saldo Estimado, o Saldo Real e a Diferença são calculados automaticamente.</t>
  </si>
  <si>
    <t>Subtotal</t>
  </si>
  <si>
    <t>Diferença Total</t>
  </si>
  <si>
    <t>Outro</t>
  </si>
  <si>
    <t>Contribuições ou taxas da organização</t>
  </si>
  <si>
    <t>Custo Real Total</t>
  </si>
  <si>
    <t>Ginásio</t>
  </si>
  <si>
    <t>Limpeza a seco</t>
  </si>
  <si>
    <t>Custo Total Estimado</t>
  </si>
  <si>
    <t>Vestuário</t>
  </si>
  <si>
    <t>O Custo Total Estimado é calculado automaticamente na célula J61, o Custo Total Real na célula J63 e a Diferença Total na célula J65.</t>
  </si>
  <si>
    <t>Cabeleireiro/manicura</t>
  </si>
  <si>
    <t>Médico</t>
  </si>
  <si>
    <t>Diferença</t>
  </si>
  <si>
    <t>Custo Real</t>
  </si>
  <si>
    <t>Custo Estimado</t>
  </si>
  <si>
    <t>CUIDADOS PESSOAIS</t>
  </si>
  <si>
    <t>Introduza os detalhes na tabela Cuidados Pessoais a partir da célula à direita e na tabela Assuntos Jurídicos a partir da célula G54. A instrução seguinte encontra-se na célula A61.</t>
  </si>
  <si>
    <t>Pagamentos de direitos de retenção ou julgamento</t>
  </si>
  <si>
    <t>Pensão de alimentos</t>
  </si>
  <si>
    <t>Advogado</t>
  </si>
  <si>
    <t>ASSUNTOS JURÍDICOS</t>
  </si>
  <si>
    <t>Diversos</t>
  </si>
  <si>
    <t>Introduza os detalhes na tabela Animais de Estimação a partir da célula à direita e na tabela Presentes a partir da célula G48. A instrução seguinte encontra-se na célula A58.</t>
  </si>
  <si>
    <t>Família</t>
  </si>
  <si>
    <t>PRESENTES E DOAÇÕES (familiares e amigos)</t>
  </si>
  <si>
    <t>Praça</t>
  </si>
  <si>
    <t>Conta de investimento</t>
  </si>
  <si>
    <t>COMIDA</t>
  </si>
  <si>
    <t>Introduza os detalhes na tabela Comida a partir da célula à direita e na tabela Poupanças a partir da célula G42. A instrução seguinte encontra-se na célula A50.</t>
  </si>
  <si>
    <t>Conta poupança para reforma</t>
  </si>
  <si>
    <t>POUPANÇAS OU INVESTIMENTOS</t>
  </si>
  <si>
    <t>carro</t>
  </si>
  <si>
    <t>Carro</t>
  </si>
  <si>
    <t>Locais</t>
  </si>
  <si>
    <t>Casa</t>
  </si>
  <si>
    <t>Distritais</t>
  </si>
  <si>
    <t>SEGURO</t>
  </si>
  <si>
    <t>Introduza os detalhes na tabela Seguros a partir da célula à direita e na tabela Impostos a partir da célula G35. A instrução seguinte está na célula A44.</t>
  </si>
  <si>
    <t>Federais</t>
  </si>
  <si>
    <t>IMPOSTOS</t>
  </si>
  <si>
    <t>Combustível</t>
  </si>
  <si>
    <t>Cartão de crédito</t>
  </si>
  <si>
    <t>Licença</t>
  </si>
  <si>
    <t>Despesas de autocarro/táxi</t>
  </si>
  <si>
    <t>Estudante</t>
  </si>
  <si>
    <t>Pagamento de veículo</t>
  </si>
  <si>
    <t>Pessoais</t>
  </si>
  <si>
    <t>TRANSPORTES</t>
  </si>
  <si>
    <t>Introduza os detalhes na tabela Transportes a partir da célula à direita e na tabela Empréstimos a partir da célula G26. A instrução seguinte encontra-se na célula A37.</t>
  </si>
  <si>
    <t>EMPRÉSTIMOS</t>
  </si>
  <si>
    <t>DSTV</t>
  </si>
  <si>
    <t>Piscina</t>
  </si>
  <si>
    <t>Outros</t>
  </si>
  <si>
    <t>TV por cabo</t>
  </si>
  <si>
    <t>Água e tratamentos</t>
  </si>
  <si>
    <t xml:space="preserve">outro </t>
  </si>
  <si>
    <t>Eletricidade</t>
  </si>
  <si>
    <t>Internet</t>
  </si>
  <si>
    <t>Hipoteca ou renda</t>
  </si>
  <si>
    <t>HABITAÇÃO</t>
  </si>
  <si>
    <t>Introduza os detalhes na tabela Habitação a partir da célula à direita e na tabela Lazer a partir da célula G14. A instrução seguinte encontra-se na célula A27.</t>
  </si>
  <si>
    <t>Rendimento mensal total</t>
  </si>
  <si>
    <t>Renda Nova Vida</t>
  </si>
  <si>
    <t>Rendimento 1</t>
  </si>
  <si>
    <t>Rendimento Mensal Real</t>
  </si>
  <si>
    <t>A etiqueta de Rendimento Mensal Real encontra-se na célula à direita. Introduza o Rendimento 1 na célula C10 e o Rendimento Extra na célula C11 para calcular o Rendimento mensal Total na célula C12. A instrução seguinte encontra-se na célula A14.</t>
  </si>
  <si>
    <t>O Saldo Estimado é calculado automaticamente na célula H4, o Saldo Real na célula H6 e a Diferença na célula H8. A instrução seguinte está na célula A9.</t>
  </si>
  <si>
    <t>Saldo Mensal
(Rendimento  menos despesas)</t>
  </si>
  <si>
    <t>Rendimento Mensal Estimado</t>
  </si>
  <si>
    <t>A etiqueta de Rendimento Mensal Estimado encontra-se na célula à direita. Introduza o Rendimento 1 na célula C5 e o Rendimento Extra na célula C6 para calcular o Rendimento mensal Total na célula C7. A instrução seguinte está na célula A7.</t>
  </si>
  <si>
    <t>O título desta folha de cálculo encontra-se na célula à direita. A instrução seguinte encontra-se na célula A5.</t>
  </si>
  <si>
    <t>Crie um Orçamento Mensal Pessoal nesta folha de cálculo. Encontram-se instruções úteis sobre como utilizar esta folha de cálculo nas células desta coluna. Prima a Seta para Baixo para começar.</t>
  </si>
  <si>
    <t>Salário</t>
  </si>
  <si>
    <t xml:space="preserve">Rendimento Extra </t>
  </si>
  <si>
    <t>Caxito</t>
  </si>
  <si>
    <t>Filipe</t>
  </si>
  <si>
    <t>Eva</t>
  </si>
  <si>
    <t xml:space="preserve">Compras supermercado </t>
  </si>
  <si>
    <t>Imóvel Secundário</t>
  </si>
  <si>
    <t>Orçamento  Mensal</t>
  </si>
  <si>
    <t>Rendimento 2</t>
  </si>
  <si>
    <t xml:space="preserve">Manutenção/reparações </t>
  </si>
  <si>
    <t>Manutenção Viatura</t>
  </si>
  <si>
    <t>Limpeza</t>
  </si>
  <si>
    <t>Staff RH</t>
  </si>
  <si>
    <t>Le chalet</t>
  </si>
  <si>
    <t>Variância</t>
  </si>
  <si>
    <t>Impostos</t>
  </si>
  <si>
    <t>Saldo Mensal
(Rendimento  menos Despesas)</t>
  </si>
  <si>
    <t>Emergência Familiar 1</t>
  </si>
  <si>
    <t>Emergência Familiar 2</t>
  </si>
  <si>
    <t>Emergência Familiar 3</t>
  </si>
  <si>
    <t>Cabeleireiro/manicure</t>
  </si>
  <si>
    <t>Lavandaria</t>
  </si>
  <si>
    <t>Compras mercado informal</t>
  </si>
  <si>
    <t>Custo real</t>
  </si>
  <si>
    <t>Rendimento Alternativo</t>
  </si>
  <si>
    <t>O Saldo Estimado é calculado automaticamente na célula H4, o Saldo Real na célula H6 e a Variância na célula H8. A instrução seguinte está na célula A9.</t>
  </si>
  <si>
    <t>O Custo Total Estimado é calculado automaticamente na célula J61, o Custo Total Real na célula J63 e a Variância Total na célula J65.</t>
  </si>
  <si>
    <t>Variância Total</t>
  </si>
  <si>
    <t>Imposto 1</t>
  </si>
  <si>
    <t>Imposto 2</t>
  </si>
  <si>
    <t>Imposto 3</t>
  </si>
  <si>
    <t>Imposto 4</t>
  </si>
  <si>
    <t>Manutenção</t>
  </si>
  <si>
    <t>CUIDADOS PESSOAIS e DIVERSÃO</t>
  </si>
  <si>
    <t>Festas</t>
  </si>
  <si>
    <t xml:space="preserve">Foram introduzidas as despesas incorridas nas diversas categorias nas respetivas tabelas. </t>
  </si>
  <si>
    <t xml:space="preserve">Manutenção </t>
  </si>
  <si>
    <t>Internet/TV</t>
  </si>
  <si>
    <t>Vida</t>
  </si>
  <si>
    <t>OUTROS</t>
  </si>
  <si>
    <t>RENDIMENTO MENSAL</t>
  </si>
  <si>
    <t>Orçamento  Familiar</t>
  </si>
  <si>
    <t>Este mapa foi criado para propor um orçamento base mensal para 2024</t>
  </si>
  <si>
    <t>Hipoteca ou renda de casa</t>
  </si>
  <si>
    <t>Saúde</t>
  </si>
  <si>
    <r>
      <rPr>
        <sz val="11"/>
        <color theme="1" tint="0.24994659260841701"/>
        <rFont val="Calibri"/>
        <family val="2"/>
        <scheme val="minor"/>
      </rPr>
      <t xml:space="preserve">As decisões tomadas nos nossos gastos diários têm um impacto muito grande no alcance dos objectivos financeiros a longo prazo.  O uso de um orçamento familiar pode ajudar as pessoas a definir um rumo. Ainda que já tenha um orçamento definido, pode ser benéfico reformular periodicamente o plano e fazer ajustes para refletir a conjuntura actual. Os 5 passos abaixo elencados podem auxiliar na organização ou reorganização das finanças familiares. </t>
    </r>
    <r>
      <rPr>
        <b/>
        <sz val="11"/>
        <color theme="1" tint="0.24994659260841701"/>
        <rFont val="Calibri"/>
        <family val="2"/>
        <scheme val="minor"/>
      </rPr>
      <t xml:space="preserve">
1. Identifique as suas fontes de receitas
2. Identifique os seus gastos fixos. 
3. Estime os seus gastos variáveis. 
4. Calcule a diferença 
5. Identifique prioridades e monitore o seu progresso.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</si>
</sst>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\ [$AOA]"/>
    <numFmt numFmtId="166" formatCode="#,##0.00\ [$AOA];[Red]\-#,##0.00\ [$AOA]"/>
    <numFmt numFmtId="167" formatCode="_-* #,##0.00\ [$AOA]_-;\-* #,##0.00\ [$AOA]_-;_-* &quot;-&quot;??\ [$AOA]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1" tint="0.24994659260841701"/>
      <name val="Calibri"/>
      <family val="2"/>
      <charset val="238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0"/>
      <color theme="1" tint="0.24994659260841701"/>
      <name val="Calibri Light"/>
      <family val="2"/>
      <scheme val="maj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theme="0"/>
      <name val="Calibri Light"/>
      <family val="1"/>
      <scheme val="major"/>
    </font>
    <font>
      <sz val="22"/>
      <color theme="3" tint="0.24994659260841701"/>
      <name val="Calibri Light"/>
      <family val="2"/>
      <scheme val="major"/>
    </font>
    <font>
      <sz val="36"/>
      <color theme="5" tint="-0.499984740745262"/>
      <name val="Calibri Light"/>
      <family val="2"/>
      <scheme val="major"/>
    </font>
    <font>
      <sz val="12"/>
      <color theme="0"/>
      <name val="Calibri Light"/>
      <family val="1"/>
      <scheme val="maj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sz val="36"/>
      <color theme="0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b/>
      <sz val="12"/>
      <color theme="1" tint="0.2499465926084170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6"/>
      <color theme="0"/>
      <name val="Calibri Light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F6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A5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4" tint="-0.24994659260841701"/>
      </bottom>
      <diagonal/>
    </border>
  </borders>
  <cellStyleXfs count="7">
    <xf numFmtId="0" fontId="0" fillId="0" borderId="0"/>
    <xf numFmtId="0" fontId="3" fillId="0" borderId="1" applyNumberFormat="0" applyFill="0" applyBorder="0" applyAlignment="0" applyProtection="0"/>
    <xf numFmtId="0" fontId="4" fillId="0" borderId="0"/>
    <xf numFmtId="0" fontId="14" fillId="0" borderId="2" applyNumberFormat="0" applyFill="0" applyBorder="0" applyAlignment="0" applyProtection="0"/>
    <xf numFmtId="0" fontId="18" fillId="0" borderId="17" applyNumberFormat="0" applyFill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2" applyAlignment="1">
      <alignment vertical="center"/>
    </xf>
    <xf numFmtId="0" fontId="5" fillId="0" borderId="0" xfId="2" applyFont="1" applyAlignment="1">
      <alignment vertical="center" wrapText="1"/>
    </xf>
    <xf numFmtId="0" fontId="4" fillId="0" borderId="0" xfId="2"/>
    <xf numFmtId="0" fontId="7" fillId="0" borderId="0" xfId="2" applyFont="1"/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9" fillId="6" borderId="4" xfId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14" fillId="0" borderId="0" xfId="2" applyNumberFormat="1" applyFont="1" applyAlignment="1">
      <alignment vertical="center"/>
    </xf>
    <xf numFmtId="0" fontId="3" fillId="0" borderId="0" xfId="1" applyBorder="1" applyAlignment="1">
      <alignment horizontal="left" vertical="center"/>
    </xf>
    <xf numFmtId="0" fontId="3" fillId="0" borderId="0" xfId="1" applyBorder="1" applyAlignment="1">
      <alignment vertical="center" wrapText="1"/>
    </xf>
    <xf numFmtId="0" fontId="3" fillId="0" borderId="0" xfId="2" applyFont="1"/>
    <xf numFmtId="0" fontId="1" fillId="0" borderId="0" xfId="2" applyFont="1"/>
    <xf numFmtId="0" fontId="18" fillId="2" borderId="0" xfId="4" applyFill="1" applyBorder="1"/>
    <xf numFmtId="0" fontId="19" fillId="2" borderId="0" xfId="4" applyFont="1" applyFill="1" applyBorder="1" applyAlignment="1">
      <alignment vertical="center"/>
    </xf>
    <xf numFmtId="0" fontId="1" fillId="2" borderId="0" xfId="2" applyFont="1" applyFill="1"/>
    <xf numFmtId="0" fontId="2" fillId="0" borderId="0" xfId="2" applyFont="1" applyAlignment="1">
      <alignment wrapText="1"/>
    </xf>
    <xf numFmtId="0" fontId="2" fillId="0" borderId="0" xfId="2" applyFont="1"/>
    <xf numFmtId="0" fontId="20" fillId="0" borderId="0" xfId="2" applyFont="1" applyAlignment="1">
      <alignment vertical="center"/>
    </xf>
    <xf numFmtId="0" fontId="21" fillId="0" borderId="0" xfId="2" applyFont="1"/>
    <xf numFmtId="0" fontId="20" fillId="0" borderId="0" xfId="2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6" fontId="9" fillId="6" borderId="3" xfId="2" applyNumberFormat="1" applyFont="1" applyFill="1" applyBorder="1" applyAlignment="1">
      <alignment vertical="center"/>
    </xf>
    <xf numFmtId="166" fontId="8" fillId="5" borderId="3" xfId="2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 vertical="center"/>
    </xf>
    <xf numFmtId="165" fontId="10" fillId="0" borderId="0" xfId="2" applyNumberFormat="1" applyFont="1" applyFill="1" applyAlignment="1">
      <alignment horizontal="center" vertical="center"/>
    </xf>
    <xf numFmtId="9" fontId="4" fillId="0" borderId="0" xfId="5" applyFont="1"/>
    <xf numFmtId="44" fontId="4" fillId="0" borderId="0" xfId="6" applyFont="1"/>
    <xf numFmtId="0" fontId="23" fillId="0" borderId="0" xfId="2" applyFont="1" applyAlignment="1">
      <alignment wrapText="1"/>
    </xf>
    <xf numFmtId="0" fontId="10" fillId="0" borderId="0" xfId="2" applyFont="1" applyFill="1" applyAlignment="1">
      <alignment vertical="center"/>
    </xf>
    <xf numFmtId="0" fontId="10" fillId="0" borderId="0" xfId="2" applyFont="1" applyFill="1"/>
    <xf numFmtId="0" fontId="11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20" fillId="0" borderId="0" xfId="2" applyFont="1" applyFill="1" applyAlignment="1">
      <alignment horizontal="center" vertical="center"/>
    </xf>
    <xf numFmtId="164" fontId="10" fillId="0" borderId="0" xfId="2" applyNumberFormat="1" applyFont="1" applyFill="1" applyAlignment="1">
      <alignment horizontal="center" vertical="center"/>
    </xf>
    <xf numFmtId="0" fontId="4" fillId="0" borderId="0" xfId="2" applyAlignment="1">
      <alignment wrapText="1"/>
    </xf>
    <xf numFmtId="0" fontId="25" fillId="9" borderId="4" xfId="1" applyFont="1" applyFill="1" applyBorder="1" applyAlignment="1">
      <alignment vertical="center"/>
    </xf>
    <xf numFmtId="166" fontId="25" fillId="9" borderId="3" xfId="2" applyNumberFormat="1" applyFont="1" applyFill="1" applyBorder="1" applyAlignment="1">
      <alignment vertical="center"/>
    </xf>
    <xf numFmtId="166" fontId="26" fillId="9" borderId="3" xfId="2" applyNumberFormat="1" applyFont="1" applyFill="1" applyBorder="1" applyAlignment="1">
      <alignment vertical="center"/>
    </xf>
    <xf numFmtId="0" fontId="27" fillId="0" borderId="0" xfId="2" applyFont="1"/>
    <xf numFmtId="0" fontId="28" fillId="0" borderId="0" xfId="2" applyFont="1" applyAlignment="1">
      <alignment vertical="center"/>
    </xf>
    <xf numFmtId="165" fontId="28" fillId="0" borderId="0" xfId="2" applyNumberFormat="1" applyFont="1" applyAlignment="1">
      <alignment horizontal="center" vertical="center"/>
    </xf>
    <xf numFmtId="0" fontId="28" fillId="0" borderId="0" xfId="2" applyFont="1"/>
    <xf numFmtId="164" fontId="28" fillId="0" borderId="0" xfId="2" applyNumberFormat="1" applyFont="1" applyAlignment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horizontal="center" vertical="center"/>
    </xf>
    <xf numFmtId="0" fontId="29" fillId="0" borderId="0" xfId="2" applyFont="1" applyAlignment="1">
      <alignment vertical="center"/>
    </xf>
    <xf numFmtId="165" fontId="28" fillId="0" borderId="0" xfId="2" applyNumberFormat="1" applyFont="1" applyFill="1" applyAlignment="1">
      <alignment horizontal="center" vertical="center"/>
    </xf>
    <xf numFmtId="0" fontId="27" fillId="8" borderId="0" xfId="2" applyFont="1" applyFill="1" applyAlignment="1">
      <alignment vertical="center"/>
    </xf>
    <xf numFmtId="0" fontId="27" fillId="8" borderId="0" xfId="2" applyFont="1" applyFill="1" applyAlignment="1">
      <alignment horizontal="center" vertical="center"/>
    </xf>
    <xf numFmtId="0" fontId="32" fillId="8" borderId="0" xfId="1" applyFont="1" applyFill="1" applyBorder="1" applyAlignment="1">
      <alignment horizontal="center" vertical="center"/>
    </xf>
    <xf numFmtId="0" fontId="6" fillId="0" borderId="0" xfId="2" applyFont="1" applyFill="1" applyAlignment="1">
      <alignment wrapText="1"/>
    </xf>
    <xf numFmtId="167" fontId="28" fillId="0" borderId="0" xfId="2" applyNumberFormat="1" applyFont="1" applyAlignment="1">
      <alignment horizontal="center" vertical="center"/>
    </xf>
    <xf numFmtId="0" fontId="24" fillId="8" borderId="0" xfId="2" applyFont="1" applyFill="1" applyAlignment="1">
      <alignment horizontal="center"/>
    </xf>
    <xf numFmtId="0" fontId="28" fillId="0" borderId="0" xfId="2" applyFont="1" applyAlignment="1">
      <alignment horizontal="center"/>
    </xf>
    <xf numFmtId="0" fontId="30" fillId="4" borderId="3" xfId="1" applyFont="1" applyFill="1" applyBorder="1" applyAlignment="1">
      <alignment horizontal="left" vertical="center" wrapText="1" indent="1"/>
    </xf>
    <xf numFmtId="166" fontId="31" fillId="3" borderId="3" xfId="2" applyNumberFormat="1" applyFont="1" applyFill="1" applyBorder="1" applyAlignment="1">
      <alignment horizontal="right" vertical="center" indent="1"/>
    </xf>
    <xf numFmtId="0" fontId="17" fillId="9" borderId="4" xfId="3" applyFont="1" applyFill="1" applyBorder="1" applyAlignment="1">
      <alignment vertical="center"/>
    </xf>
    <xf numFmtId="0" fontId="17" fillId="9" borderId="15" xfId="3" applyFont="1" applyFill="1" applyBorder="1" applyAlignment="1">
      <alignment vertical="center"/>
    </xf>
    <xf numFmtId="0" fontId="16" fillId="10" borderId="16" xfId="1" applyFont="1" applyFill="1" applyBorder="1" applyAlignment="1">
      <alignment horizontal="center" vertical="center" wrapText="1"/>
    </xf>
    <xf numFmtId="0" fontId="16" fillId="10" borderId="15" xfId="1" applyFont="1" applyFill="1" applyBorder="1" applyAlignment="1">
      <alignment horizontal="center" vertical="center" wrapText="1"/>
    </xf>
    <xf numFmtId="0" fontId="16" fillId="10" borderId="14" xfId="1" applyFont="1" applyFill="1" applyBorder="1" applyAlignment="1">
      <alignment horizontal="center" vertical="center" wrapText="1"/>
    </xf>
    <xf numFmtId="0" fontId="16" fillId="10" borderId="12" xfId="1" applyFont="1" applyFill="1" applyBorder="1" applyAlignment="1">
      <alignment horizontal="center" vertical="center" wrapText="1"/>
    </xf>
    <xf numFmtId="0" fontId="16" fillId="10" borderId="0" xfId="1" applyFont="1" applyFill="1" applyBorder="1" applyAlignment="1">
      <alignment horizontal="center" vertical="center" wrapText="1"/>
    </xf>
    <xf numFmtId="0" fontId="16" fillId="10" borderId="11" xfId="1" applyFont="1" applyFill="1" applyBorder="1" applyAlignment="1">
      <alignment horizontal="center" vertical="center" wrapText="1"/>
    </xf>
    <xf numFmtId="0" fontId="16" fillId="10" borderId="8" xfId="1" applyFont="1" applyFill="1" applyBorder="1" applyAlignment="1">
      <alignment horizontal="center" vertical="center" wrapText="1"/>
    </xf>
    <xf numFmtId="0" fontId="16" fillId="10" borderId="7" xfId="1" applyFont="1" applyFill="1" applyBorder="1" applyAlignment="1">
      <alignment horizontal="center" vertical="center" wrapText="1"/>
    </xf>
    <xf numFmtId="0" fontId="16" fillId="10" borderId="6" xfId="1" applyFont="1" applyFill="1" applyBorder="1" applyAlignment="1">
      <alignment horizontal="center" vertical="center" wrapText="1"/>
    </xf>
    <xf numFmtId="166" fontId="15" fillId="10" borderId="13" xfId="2" applyNumberFormat="1" applyFont="1" applyFill="1" applyBorder="1" applyAlignment="1">
      <alignment horizontal="center" vertical="center"/>
    </xf>
    <xf numFmtId="166" fontId="15" fillId="10" borderId="10" xfId="2" applyNumberFormat="1" applyFont="1" applyFill="1" applyBorder="1" applyAlignment="1">
      <alignment horizontal="center" vertical="center"/>
    </xf>
    <xf numFmtId="166" fontId="15" fillId="10" borderId="5" xfId="2" applyNumberFormat="1" applyFont="1" applyFill="1" applyBorder="1" applyAlignment="1">
      <alignment horizontal="center" vertical="center"/>
    </xf>
    <xf numFmtId="0" fontId="17" fillId="8" borderId="4" xfId="3" applyFont="1" applyFill="1" applyBorder="1" applyAlignment="1">
      <alignment vertical="center"/>
    </xf>
    <xf numFmtId="0" fontId="17" fillId="8" borderId="9" xfId="3" applyFont="1" applyFill="1" applyBorder="1" applyAlignment="1">
      <alignment vertical="center"/>
    </xf>
    <xf numFmtId="0" fontId="4" fillId="0" borderId="0" xfId="2" applyAlignment="1">
      <alignment horizontal="center"/>
    </xf>
    <xf numFmtId="0" fontId="9" fillId="4" borderId="3" xfId="1" applyFont="1" applyFill="1" applyBorder="1" applyAlignment="1">
      <alignment horizontal="left" vertical="center" wrapText="1" indent="1"/>
    </xf>
    <xf numFmtId="166" fontId="8" fillId="3" borderId="3" xfId="2" applyNumberFormat="1" applyFont="1" applyFill="1" applyBorder="1" applyAlignment="1">
      <alignment horizontal="right" vertical="center" indent="1"/>
    </xf>
    <xf numFmtId="0" fontId="10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7" fillId="7" borderId="4" xfId="3" applyFont="1" applyFill="1" applyBorder="1" applyAlignment="1">
      <alignment vertical="center"/>
    </xf>
    <xf numFmtId="0" fontId="17" fillId="7" borderId="15" xfId="3" applyFont="1" applyFill="1" applyBorder="1" applyAlignment="1">
      <alignment vertical="center"/>
    </xf>
    <xf numFmtId="0" fontId="16" fillId="4" borderId="16" xfId="1" applyFont="1" applyFill="1" applyBorder="1" applyAlignment="1">
      <alignment horizontal="center" vertical="center" wrapText="1"/>
    </xf>
    <xf numFmtId="0" fontId="16" fillId="4" borderId="15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166" fontId="15" fillId="3" borderId="13" xfId="2" applyNumberFormat="1" applyFont="1" applyFill="1" applyBorder="1" applyAlignment="1">
      <alignment horizontal="center" vertical="center"/>
    </xf>
    <xf numFmtId="166" fontId="15" fillId="3" borderId="10" xfId="2" applyNumberFormat="1" applyFont="1" applyFill="1" applyBorder="1" applyAlignment="1">
      <alignment horizontal="center" vertical="center"/>
    </xf>
    <xf numFmtId="166" fontId="15" fillId="3" borderId="5" xfId="2" applyNumberFormat="1" applyFont="1" applyFill="1" applyBorder="1" applyAlignment="1">
      <alignment horizontal="center" vertical="center"/>
    </xf>
    <xf numFmtId="0" fontId="17" fillId="7" borderId="9" xfId="3" applyFont="1" applyFill="1" applyBorder="1" applyAlignment="1">
      <alignment vertical="center"/>
    </xf>
  </cellXfs>
  <cellStyles count="7">
    <cellStyle name="Cabeçalho 1 2" xfId="4"/>
    <cellStyle name="Cabeçalho 2 2" xfId="1"/>
    <cellStyle name="Cabeçalho 3 2" xfId="3"/>
    <cellStyle name="Moeda" xfId="6" builtinId="4"/>
    <cellStyle name="Normal" xfId="0" builtinId="0"/>
    <cellStyle name="Normal 2" xfId="2"/>
    <cellStyle name="Percentagem" xfId="5" builtinId="5"/>
  </cellStyles>
  <dxfs count="2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404040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theme="0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rgb="FF404040"/>
      </font>
    </dxf>
    <dxf>
      <font>
        <strike val="0"/>
        <outline val="0"/>
        <shadow val="0"/>
        <u val="none"/>
        <vertAlign val="baseline"/>
        <sz val="12"/>
        <color theme="0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7" formatCode="_-* #,##0.00\ [$AOA]_-;\-* #,##0.00\ [$AOA]_-;_-* &quot;-&quot;??\ [$AOA]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7" formatCode="_-* #,##0.00\ [$AOA]_-;\-* #,##0.00\ [$AOA]_-;_-* &quot;-&quot;??\ [$AOA]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7" formatCode="_-* #,##0.00\ [$AOA]_-;\-* #,##0.00\ [$AOA]_-;_-* &quot;-&quot;??\ [$AOA]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numFmt numFmtId="165" formatCode="#,##0.00\ [$AOA]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rgb="FF404040"/>
        <name val="Calibri Light"/>
        <scheme val="major"/>
      </font>
    </dxf>
    <dxf>
      <font>
        <strike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F6C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6">
    <tableStyle name="Livro de Endereços" pivot="0" count="5">
      <tableStyleElement type="wholeTable" dxfId="263"/>
      <tableStyleElement type="headerRow" dxfId="262"/>
      <tableStyleElement type="totalRow" dxfId="261"/>
      <tableStyleElement type="firstRowStripe" dxfId="260"/>
      <tableStyleElement type="secondRowStripe" dxfId="259"/>
    </tableStyle>
  </tableStyles>
  <colors>
    <mruColors>
      <color rgb="FFE0A526"/>
      <color rgb="FF002F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179397</xdr:colOff>
      <xdr:row>1</xdr:row>
      <xdr:rowOff>154781</xdr:rowOff>
    </xdr:from>
    <xdr:ext cx="754908" cy="749613"/>
    <xdr:pic>
      <xdr:nvPicPr>
        <xdr:cNvPr id="2" name="Imagem 1" descr="Elemento decorativo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97" y="338931"/>
          <a:ext cx="754908" cy="74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1" name="Habitação1426385062869874" displayName="Habitação1426385062869874" ref="B14:E25" totalsRowCount="1" headerRowDxfId="258" dataDxfId="257" totalsRowDxfId="256">
  <autoFilter ref="B14:E24">
    <filterColumn colId="0" hiddenButton="1"/>
    <filterColumn colId="1" hiddenButton="1"/>
    <filterColumn colId="2" hiddenButton="1"/>
    <filterColumn colId="3" hiddenButton="1"/>
  </autoFilter>
  <tableColumns count="4">
    <tableColumn id="1" name="HABITAÇÃO" totalsRowLabel="Subtotal" dataDxfId="255" totalsRowDxfId="11" dataCellStyle="Normal 2"/>
    <tableColumn id="2" name="Custo Estimado" totalsRowFunction="sum" dataDxfId="254" totalsRowDxfId="10" dataCellStyle="Normal 2"/>
    <tableColumn id="3" name="Custo real" totalsRowFunction="sum" totalsRowDxfId="9" dataCellStyle="Normal 2"/>
    <tableColumn id="4" name="Variância" totalsRowFunction="sum" dataDxfId="253" totalsRowDxfId="8" dataCellStyle="Normal 2">
      <calculatedColumnFormula>Habitação1426385062869874[[#This Row],[Custo Estimado]]-Habitação1426385062869874[[#This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Habitação Estimados e Reais nesta tabela. A diferença é calculada automaticamente"/>
    </ext>
  </extLst>
</table>
</file>

<file path=xl/tables/table10.xml><?xml version="1.0" encoding="utf-8"?>
<table xmlns="http://schemas.openxmlformats.org/spreadsheetml/2006/main" id="10" name="Animais_de_Estimação23354759719510783" displayName="Animais_de_Estimação23354759719510783" ref="B50:E56" totalsRowCount="1" headerRowDxfId="168" dataDxfId="167" totalsRowDxfId="166">
  <tableColumns count="4">
    <tableColumn id="1" name="OUTROS" totalsRowLabel="Subtotal" dataDxfId="165" totalsRowDxfId="164" dataCellStyle="Normal 2"/>
    <tableColumn id="2" name="Custo Estimado" dataDxfId="163" totalsRowDxfId="162" dataCellStyle="Normal 2"/>
    <tableColumn id="3" name="Custo Real" totalsRowFunction="custom" dataDxfId="161" totalsRowDxfId="160" dataCellStyle="Normal 2">
      <totalsRowFormula>SUM(Animais_de_Estimação23354759719510783[Custo Real])</totalsRowFormula>
    </tableColumn>
    <tableColumn id="4" name="Variância" totalsRowFunction="sum" dataDxfId="159" totalsRowDxfId="158" dataCellStyle="Normal 2">
      <calculatedColumnFormula>Animais_de_Estimação23354759719510783[[#This Row],[Custo Estimado]]-Animais_de_Estimação23354759719510783[[#This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Animais de Estimação Estimados e Reais nesta tabela. A diferença é calculada automaticamente"/>
    </ext>
  </extLst>
</table>
</file>

<file path=xl/tables/table11.xml><?xml version="1.0" encoding="utf-8"?>
<table xmlns="http://schemas.openxmlformats.org/spreadsheetml/2006/main" id="11" name="Assuntos_Jurídicos24364860729610884" displayName="Assuntos_Jurídicos24364860729610884" ref="G54:J59" totalsRowCount="1" headerRowDxfId="157" dataDxfId="156" totalsRowDxfId="155">
  <tableColumns count="4">
    <tableColumn id="1" name="ASSUNTOS JURÍDICOS" totalsRowLabel="Subtotal" dataDxfId="154" totalsRowDxfId="153" dataCellStyle="Normal 2"/>
    <tableColumn id="2" name="Custo Estimado" dataDxfId="152" totalsRowDxfId="151" dataCellStyle="Normal 2"/>
    <tableColumn id="3" name="Custo Real" dataDxfId="150" totalsRowDxfId="149" dataCellStyle="Normal 2"/>
    <tableColumn id="4" name="Variância" totalsRowFunction="sum" dataDxfId="148" totalsRowDxfId="147" dataCellStyle="Normal 2">
      <calculatedColumnFormula>Assuntos_Jurídicos24364860729610884[[#This Row],[Custo Estimado]]-Assuntos_Jurídicos24364860729610884[[#This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Assuntos Jurídicos Estimados e Reais nesta tabela. A diferença é calculada automaticamente"/>
    </ext>
  </extLst>
</table>
</file>

<file path=xl/tables/table12.xml><?xml version="1.0" encoding="utf-8"?>
<table xmlns="http://schemas.openxmlformats.org/spreadsheetml/2006/main" id="12" name="CuidadosPessoais25374961739710985" displayName="CuidadosPessoais25374961739710985" ref="B58:E66" totalsRowCount="1" headerRowDxfId="146" dataDxfId="145" totalsRowDxfId="144">
  <autoFilter ref="B58:E65">
    <filterColumn colId="0" hiddenButton="1"/>
    <filterColumn colId="1" hiddenButton="1"/>
    <filterColumn colId="2" hiddenButton="1"/>
    <filterColumn colId="3" hiddenButton="1"/>
  </autoFilter>
  <tableColumns count="4">
    <tableColumn id="1" name="CUIDADOS PESSOAIS e DIVERSÃO" totalsRowLabel="Subtotal" dataDxfId="143" totalsRowDxfId="7" dataCellStyle="Normal 2"/>
    <tableColumn id="2" name="Custo Estimado" dataDxfId="142" totalsRowDxfId="6" dataCellStyle="Normal 2"/>
    <tableColumn id="3" name="Custo Real" dataDxfId="141" totalsRowDxfId="5" dataCellStyle="Normal 2"/>
    <tableColumn id="4" name="Variância" totalsRowFunction="sum" dataDxfId="140" totalsRowDxfId="4" dataCellStyle="Normal 2">
      <calculatedColumnFormula>CuidadosPessoais25374961739710985[[#This Row],[Custo Estimado]]-CuidadosPessoais25374961739710985[[#This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Cuidados Pessoais Estimados e Reais nesta tabela. A diferença é calculada automaticamente"/>
    </ext>
  </extLst>
</table>
</file>

<file path=xl/tables/table13.xml><?xml version="1.0" encoding="utf-8"?>
<table xmlns="http://schemas.openxmlformats.org/spreadsheetml/2006/main" id="73" name="Habitação1426385062869874142638506274" displayName="Habitação1426385062869874142638506274" ref="B14:E25" totalsRowCount="1" headerRowDxfId="139" dataDxfId="138" totalsRowDxfId="137">
  <autoFilter ref="B14:E24">
    <filterColumn colId="0" hiddenButton="1"/>
    <filterColumn colId="1" hiddenButton="1"/>
    <filterColumn colId="2" hiddenButton="1"/>
    <filterColumn colId="3" hiddenButton="1"/>
  </autoFilter>
  <tableColumns count="4">
    <tableColumn id="1" name="HABITAÇÃO" totalsRowLabel="Subtotal" dataDxfId="136" totalsRowDxfId="135" dataCellStyle="Normal 2"/>
    <tableColumn id="2" name="Custo Estimado" totalsRowFunction="sum" dataDxfId="134" totalsRowDxfId="133" dataCellStyle="Normal 2"/>
    <tableColumn id="3" name="Custo Real" totalsRowFunction="sum" dataDxfId="132" totalsRowDxfId="131" dataCellStyle="Normal 2"/>
    <tableColumn id="4" name="Diferença" totalsRowFunction="sum" dataDxfId="130" totalsRowDxfId="129" dataCellStyle="Normal 2">
      <calculatedColumnFormula>Habitação1426385062869874142638506274[[#This Row],[Custo Estimado]]-Habitação1426385062869874142638506274[[#This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Habitação Estimados e Reais nesta tabela. A diferença é calculada automaticamente"/>
    </ext>
  </extLst>
</table>
</file>

<file path=xl/tables/table14.xml><?xml version="1.0" encoding="utf-8"?>
<table xmlns="http://schemas.openxmlformats.org/spreadsheetml/2006/main" id="74" name="Lazer1527395163879975152739516375" displayName="Lazer1527395163879975152739516375" ref="G14:J24" totalsRowCount="1" headerRowDxfId="128" dataDxfId="127" totalsRowDxfId="126">
  <autoFilter ref="G14:J23">
    <filterColumn colId="0" hiddenButton="1"/>
    <filterColumn colId="1" hiddenButton="1"/>
    <filterColumn colId="2" hiddenButton="1"/>
    <filterColumn colId="3" hiddenButton="1"/>
  </autoFilter>
  <tableColumns count="4">
    <tableColumn id="1" name="Staff RH" totalsRowLabel="Subtotal" dataDxfId="125" totalsRowDxfId="124" dataCellStyle="Normal 2"/>
    <tableColumn id="2" name="Custo Estimado" totalsRowFunction="custom" dataDxfId="123" totalsRowDxfId="122" dataCellStyle="Normal 2">
      <totalsRowFormula>SUM(H15:H23)</totalsRowFormula>
    </tableColumn>
    <tableColumn id="3" name="Custo Real" totalsRowFunction="custom" dataDxfId="121" totalsRowDxfId="120" dataCellStyle="Normal 2">
      <totalsRowFormula>SUM(I15:I23)</totalsRowFormula>
    </tableColumn>
    <tableColumn id="4" name="Diferença" totalsRowFunction="sum" dataDxfId="119" totalsRowDxfId="118" dataCellStyle="Normal 2">
      <calculatedColumnFormula>Lazer1527395163879975152739516375[[#This Row],[Custo Estimado]]-Lazer1527395163879975152739516375[[#This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Lazer Estimados e Reais nesta tabela. A diferença é calculada automaticamente"/>
    </ext>
  </extLst>
</table>
</file>

<file path=xl/tables/table15.xml><?xml version="1.0" encoding="utf-8"?>
<table xmlns="http://schemas.openxmlformats.org/spreadsheetml/2006/main" id="75" name="Empréstimos16284052648810076162840526476" displayName="Empréstimos16284052648810076162840526476" ref="G26:J33" totalsRowCount="1" headerRowDxfId="117" dataDxfId="116" totalsRowDxfId="115">
  <autoFilter ref="G26:J32">
    <filterColumn colId="0" hiddenButton="1"/>
    <filterColumn colId="1" hiddenButton="1"/>
    <filterColumn colId="2" hiddenButton="1"/>
    <filterColumn colId="3" hiddenButton="1"/>
  </autoFilter>
  <tableColumns count="4">
    <tableColumn id="1" name="EMPRÉSTIMOS" totalsRowLabel="Subtotal" dataDxfId="114" totalsRowDxfId="113"/>
    <tableColumn id="2" name="Custo Estimado" dataDxfId="112" totalsRowDxfId="111"/>
    <tableColumn id="3" name="Custo Real" dataDxfId="110" totalsRowDxfId="109"/>
    <tableColumn id="4" name="Diferença" totalsRowFunction="sum" dataDxfId="108" totalsRowDxfId="107">
      <calculatedColumnFormula>Empréstimos16284052648810076162840526476[[#This Row],[Custo Estimado]]-Empréstimos16284052648810076162840526476[[#This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Empréstimos Estimados e Reais nesta tabela. A diferença é calculada automaticamente"/>
    </ext>
  </extLst>
</table>
</file>

<file path=xl/tables/table16.xml><?xml version="1.0" encoding="utf-8"?>
<table xmlns="http://schemas.openxmlformats.org/spreadsheetml/2006/main" id="76" name="Transportes17294153658910177172941536577" displayName="Transportes17294153658910177172941536577" ref="B27:E35" totalsRowCount="1" headerRowDxfId="106" dataDxfId="105" totalsRowDxfId="104">
  <autoFilter ref="B27:E34">
    <filterColumn colId="0" hiddenButton="1"/>
    <filterColumn colId="1" hiddenButton="1"/>
    <filterColumn colId="2" hiddenButton="1"/>
    <filterColumn colId="3" hiddenButton="1"/>
  </autoFilter>
  <tableColumns count="4">
    <tableColumn id="1" name="TRANSPORTES" totalsRowLabel="Subtotal" dataDxfId="103" totalsRowDxfId="102" dataCellStyle="Normal 2"/>
    <tableColumn id="2" name="Custo Estimado" totalsRowFunction="custom" dataDxfId="101" totalsRowDxfId="100" dataCellStyle="Normal 2">
      <totalsRowFormula>SUM(C28:C34)</totalsRowFormula>
    </tableColumn>
    <tableColumn id="3" name="Custo Real" totalsRowFunction="custom" dataDxfId="99" totalsRowDxfId="98" dataCellStyle="Normal 2">
      <totalsRowFormula>SUM(D28:D34)</totalsRowFormula>
    </tableColumn>
    <tableColumn id="4" name="Diferença" totalsRowFunction="sum" dataDxfId="97" totalsRowDxfId="96" dataCellStyle="Normal 2">
      <calculatedColumnFormula>Transportes17294153658910177172941536577[[#This Row],[Custo Estimado]]-Transportes17294153658910177172941536577[[#This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Transportes Estimados e Reais nesta tabela. A diferença é calculada automaticamente"/>
    </ext>
  </extLst>
</table>
</file>

<file path=xl/tables/table17.xml><?xml version="1.0" encoding="utf-8"?>
<table xmlns="http://schemas.openxmlformats.org/spreadsheetml/2006/main" id="77" name="Seguro18304254669010278183042546678" displayName="Seguro18304254669010278183042546678" ref="B37:E42" totalsRowCount="1" headerRowDxfId="95" dataDxfId="94" totalsRowDxfId="93">
  <autoFilter ref="B37:E41">
    <filterColumn colId="0" hiddenButton="1"/>
    <filterColumn colId="1" hiddenButton="1"/>
    <filterColumn colId="2" hiddenButton="1"/>
    <filterColumn colId="3" hiddenButton="1"/>
  </autoFilter>
  <tableColumns count="4">
    <tableColumn id="1" name="SEGURO" totalsRowLabel="Subtotal" dataDxfId="92" totalsRowDxfId="91" dataCellStyle="Normal 2"/>
    <tableColumn id="2" name="Custo Estimado" totalsRowFunction="custom" dataDxfId="90" totalsRowDxfId="89" dataCellStyle="Normal 2">
      <totalsRowFormula>SUM(C38:C41)</totalsRowFormula>
    </tableColumn>
    <tableColumn id="3" name="Custo Real" totalsRowFunction="custom" dataDxfId="88" totalsRowDxfId="87" dataCellStyle="Normal 2">
      <totalsRowFormula>SUM(D38:D41)</totalsRowFormula>
    </tableColumn>
    <tableColumn id="4" name="Diferença" totalsRowFunction="sum" dataDxfId="86" totalsRowDxfId="85" dataCellStyle="Normal 2">
      <calculatedColumnFormula>Seguro18304254669010278183042546678[[#This Row],[Custo Estimado]]-Seguro18304254669010278183042546678[[#This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Seguros Estimados e Reais nesta tabela. A diferença é calculada automaticamente"/>
    </ext>
  </extLst>
</table>
</file>

<file path=xl/tables/table18.xml><?xml version="1.0" encoding="utf-8"?>
<table xmlns="http://schemas.openxmlformats.org/spreadsheetml/2006/main" id="78" name="Impostos19314355679110379193143556779" displayName="Impostos19314355679110379193143556779" ref="G35:J40" totalsRowCount="1" headerRowDxfId="84" dataDxfId="83" totalsRowDxfId="82">
  <autoFilter ref="G35:J39">
    <filterColumn colId="0" hiddenButton="1"/>
    <filterColumn colId="1" hiddenButton="1"/>
    <filterColumn colId="2" hiddenButton="1"/>
    <filterColumn colId="3" hiddenButton="1"/>
  </autoFilter>
  <tableColumns count="4">
    <tableColumn id="1" name="IMPOSTOS" totalsRowLabel="Subtotal" dataDxfId="81" totalsRowDxfId="80" dataCellStyle="Normal 2"/>
    <tableColumn id="2" name="Custo Estimado" dataDxfId="79" totalsRowDxfId="78" dataCellStyle="Normal 2"/>
    <tableColumn id="3" name="Custo Real" dataDxfId="77" totalsRowDxfId="76" dataCellStyle="Normal 2"/>
    <tableColumn id="4" name="Diferença" totalsRowFunction="sum" dataDxfId="75" totalsRowDxfId="74" dataCellStyle="Normal 2">
      <calculatedColumnFormula>Impostos19314355679110379193143556779[[#This Row],[Custo Estimado]]-Impostos19314355679110379193143556779[[#This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Impostos Estimados e Reais nesta tabela. A diferença é calculada automaticamente"/>
    </ext>
  </extLst>
</table>
</file>

<file path=xl/tables/table19.xml><?xml version="1.0" encoding="utf-8"?>
<table xmlns="http://schemas.openxmlformats.org/spreadsheetml/2006/main" id="79" name="Poupanças20324456689210480203244566880" displayName="Poupanças20324456689210480203244566880" ref="G42:J46" totalsRowCount="1" headerRowDxfId="73" dataDxfId="72" totalsRowDxfId="71">
  <autoFilter ref="G42:J45">
    <filterColumn colId="0" hiddenButton="1"/>
    <filterColumn colId="1" hiddenButton="1"/>
    <filterColumn colId="2" hiddenButton="1"/>
    <filterColumn colId="3" hiddenButton="1"/>
  </autoFilter>
  <tableColumns count="4">
    <tableColumn id="1" name="POUPANÇAS OU INVESTIMENTOS" totalsRowLabel="Subtotal" dataDxfId="70" totalsRowDxfId="69" dataCellStyle="Normal 2"/>
    <tableColumn id="2" name="Custo Estimado" dataDxfId="68" totalsRowDxfId="67" dataCellStyle="Normal 2"/>
    <tableColumn id="3" name="Custo Real" dataDxfId="66" totalsRowDxfId="65" dataCellStyle="Normal 2"/>
    <tableColumn id="4" name="Diferença" totalsRowFunction="sum" dataDxfId="64" totalsRowDxfId="63" dataCellStyle="Normal 2">
      <calculatedColumnFormula>Poupanças20324456689210480203244566880[[#This Row],[Custo Estimado]]-Poupanças20324456689210480203244566880[[#This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Poupanças ou Investimentos Estimados e Reais nesta tabela. A diferença é calculada automaticamente"/>
    </ext>
  </extLst>
</table>
</file>

<file path=xl/tables/table2.xml><?xml version="1.0" encoding="utf-8"?>
<table xmlns="http://schemas.openxmlformats.org/spreadsheetml/2006/main" id="2" name="Lazer1527395163879975" displayName="Lazer1527395163879975" ref="G14:J24" totalsRowCount="1" headerRowDxfId="252" dataDxfId="251" totalsRowDxfId="250">
  <autoFilter ref="G14:J23">
    <filterColumn colId="0" hiddenButton="1"/>
    <filterColumn colId="1" hiddenButton="1"/>
    <filterColumn colId="2" hiddenButton="1"/>
    <filterColumn colId="3" hiddenButton="1"/>
  </autoFilter>
  <tableColumns count="4">
    <tableColumn id="1" name="OUTROS" totalsRowLabel="Subtotal" dataDxfId="249" totalsRowDxfId="248" dataCellStyle="Normal 2"/>
    <tableColumn id="2" name="Custo Estimado" totalsRowFunction="custom" dataDxfId="247" totalsRowDxfId="246" dataCellStyle="Normal 2">
      <totalsRowFormula>SUM(H15:H23)</totalsRowFormula>
    </tableColumn>
    <tableColumn id="3" name="Custo Real" totalsRowFunction="custom" dataDxfId="245" totalsRowDxfId="244" dataCellStyle="Normal 2">
      <totalsRowFormula>SUM(I15:I23)</totalsRowFormula>
    </tableColumn>
    <tableColumn id="4" name="Variância" totalsRowFunction="sum" dataDxfId="243" totalsRowDxfId="242" dataCellStyle="Normal 2">
      <calculatedColumnFormula>Lazer1527395163879975[[#This Row],[Custo Estimado]]-Lazer1527395163879975[[#This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Lazer Estimados e Reais nesta tabela. A diferença é calculada automaticamente"/>
    </ext>
  </extLst>
</table>
</file>

<file path=xl/tables/table20.xml><?xml version="1.0" encoding="utf-8"?>
<table xmlns="http://schemas.openxmlformats.org/spreadsheetml/2006/main" id="80" name="Comida21334557699310581213345576981" displayName="Comida21334557699310581213345576981" ref="B44:E48" totalsRowCount="1" headerRowDxfId="62" dataDxfId="61" totalsRowDxfId="60">
  <autoFilter ref="B44:E47">
    <filterColumn colId="0" hiddenButton="1"/>
    <filterColumn colId="1" hiddenButton="1"/>
    <filterColumn colId="2" hiddenButton="1"/>
    <filterColumn colId="3" hiddenButton="1"/>
  </autoFilter>
  <tableColumns count="4">
    <tableColumn id="1" name="COMIDA" totalsRowLabel="Subtotal" dataDxfId="59" totalsRowDxfId="58" dataCellStyle="Normal 2"/>
    <tableColumn id="2" name="Custo Estimado" totalsRowFunction="custom" dataDxfId="57" totalsRowDxfId="56" dataCellStyle="Normal 2">
      <totalsRowFormula>SUM(Comida21334557699310581213345576981[Custo Estimado])</totalsRowFormula>
    </tableColumn>
    <tableColumn id="3" name="Custo Real" totalsRowFunction="custom" dataDxfId="55" totalsRowDxfId="54" dataCellStyle="Normal 2">
      <totalsRowFormula>SUM(Comida21334557699310581213345576981[Custo Real])</totalsRowFormula>
    </tableColumn>
    <tableColumn id="4" name="Diferença" totalsRowFunction="sum" dataDxfId="53" totalsRowDxfId="52" dataCellStyle="Normal 2">
      <calculatedColumnFormula>Comida21334557699310581213345576981[[#This Row],[Custo Estimado]]-Comida21334557699310581213345576981[[#This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Comida Estimados e Reais nesta tabela. A diferença é calculada automaticamente"/>
    </ext>
  </extLst>
</table>
</file>

<file path=xl/tables/table21.xml><?xml version="1.0" encoding="utf-8"?>
<table xmlns="http://schemas.openxmlformats.org/spreadsheetml/2006/main" id="81" name="Presentes22344658709410682223446587082" displayName="Presentes22344658709410682223446587082" ref="G48:J52" totalsRowCount="1" headerRowDxfId="51" dataDxfId="50" totalsRowDxfId="49">
  <autoFilter ref="G48:J51">
    <filterColumn colId="0" hiddenButton="1"/>
    <filterColumn colId="1" hiddenButton="1"/>
    <filterColumn colId="2" hiddenButton="1"/>
    <filterColumn colId="3" hiddenButton="1"/>
  </autoFilter>
  <tableColumns count="4">
    <tableColumn id="1" name="PRESENTES E DOAÇÕES (familiares e amigos)" totalsRowLabel="Subtotal" dataDxfId="48" totalsRowDxfId="47" dataCellStyle="Normal 2"/>
    <tableColumn id="2" name="Custo Estimado" dataDxfId="46" totalsRowDxfId="45" dataCellStyle="Normal 2"/>
    <tableColumn id="3" name="Custo Real" totalsRowFunction="custom" dataDxfId="44" totalsRowDxfId="43" dataCellStyle="Normal 2">
      <totalsRowFormula>SUM(Presentes22344658709410682223446587082[Custo Real])</totalsRowFormula>
    </tableColumn>
    <tableColumn id="4" name="Diferença" totalsRowFunction="sum" dataDxfId="42" totalsRowDxfId="41" dataCellStyle="Normal 2">
      <calculatedColumnFormula>Presentes22344658709410682223446587082[[#This Row],[Custo Estimado]]-Presentes22344658709410682223446587082[[#This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Presentes e Doações Estimados e Reais nesta tabela. A diferença é calculada automaticamente"/>
    </ext>
  </extLst>
</table>
</file>

<file path=xl/tables/table22.xml><?xml version="1.0" encoding="utf-8"?>
<table xmlns="http://schemas.openxmlformats.org/spreadsheetml/2006/main" id="82" name="Animais_de_Estimação23354759719510783233547597183" displayName="Animais_de_Estimação23354759719510783233547597183" ref="B50:E56" totalsRowCount="1" headerRowDxfId="40" dataDxfId="39" totalsRowDxfId="38">
  <tableColumns count="4">
    <tableColumn id="1" name="Imóvel Secundário" totalsRowLabel="Subtotal" dataDxfId="37" totalsRowDxfId="36" dataCellStyle="Normal 2"/>
    <tableColumn id="2" name="Custo Estimado" dataDxfId="35" totalsRowDxfId="34" dataCellStyle="Normal 2"/>
    <tableColumn id="3" name="Custo Real" totalsRowFunction="custom" dataDxfId="33" totalsRowDxfId="32" dataCellStyle="Normal 2">
      <totalsRowFormula>SUM(Animais_de_Estimação23354759719510783233547597183[Custo Real])</totalsRowFormula>
    </tableColumn>
    <tableColumn id="4" name="Diferença" totalsRowFunction="sum" dataDxfId="31" totalsRowDxfId="30" dataCellStyle="Normal 2">
      <calculatedColumnFormula>Animais_de_Estimação23354759719510783233547597183[[#This Row],[Custo Estimado]]-Animais_de_Estimação23354759719510783233547597183[[#This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Animais de Estimação Estimados e Reais nesta tabela. A diferença é calculada automaticamente"/>
    </ext>
  </extLst>
</table>
</file>

<file path=xl/tables/table23.xml><?xml version="1.0" encoding="utf-8"?>
<table xmlns="http://schemas.openxmlformats.org/spreadsheetml/2006/main" id="83" name="Assuntos_Jurídicos24364860729610884243648607284" displayName="Assuntos_Jurídicos24364860729610884243648607284" ref="G54:J59" totalsRowCount="1" headerRowDxfId="29" dataDxfId="28" totalsRowDxfId="27">
  <tableColumns count="4">
    <tableColumn id="1" name="ASSUNTOS JURÍDICOS" totalsRowLabel="Subtotal" dataDxfId="26" dataCellStyle="Normal 2"/>
    <tableColumn id="2" name="Custo Estimado" dataDxfId="25" dataCellStyle="Normal 2"/>
    <tableColumn id="3" name="Custo Real" dataDxfId="24" dataCellStyle="Normal 2"/>
    <tableColumn id="4" name="Diferença" totalsRowFunction="sum" dataDxfId="23" dataCellStyle="Normal 2">
      <calculatedColumnFormula>Assuntos_Jurídicos24364860729610884243648607284[[#This Row],[Custo Estimado]]-Assuntos_Jurídicos24364860729610884243648607284[[#This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Assuntos Jurídicos Estimados e Reais nesta tabela. A diferença é calculada automaticamente"/>
    </ext>
  </extLst>
</table>
</file>

<file path=xl/tables/table24.xml><?xml version="1.0" encoding="utf-8"?>
<table xmlns="http://schemas.openxmlformats.org/spreadsheetml/2006/main" id="84" name="CuidadosPessoais25374961739710985253749617385" displayName="CuidadosPessoais25374961739710985253749617385" ref="B58:E66" totalsRowCount="1" headerRowDxfId="22" dataDxfId="21" totalsRowDxfId="20">
  <autoFilter ref="B58:E65">
    <filterColumn colId="0" hiddenButton="1"/>
    <filterColumn colId="1" hiddenButton="1"/>
    <filterColumn colId="2" hiddenButton="1"/>
    <filterColumn colId="3" hiddenButton="1"/>
  </autoFilter>
  <tableColumns count="4">
    <tableColumn id="1" name="CUIDADOS PESSOAIS" totalsRowLabel="Subtotal" dataDxfId="19" totalsRowDxfId="18" dataCellStyle="Normal 2"/>
    <tableColumn id="2" name="Custo Estimado" dataDxfId="17" totalsRowDxfId="16" dataCellStyle="Normal 2"/>
    <tableColumn id="3" name="Custo Real" dataDxfId="15" totalsRowDxfId="14" dataCellStyle="Normal 2"/>
    <tableColumn id="4" name="Diferença" totalsRowFunction="sum" dataDxfId="13" totalsRowDxfId="12" dataCellStyle="Normal 2">
      <calculatedColumnFormula>CuidadosPessoais25374961739710985253749617385[[#This Row],[Custo Estimado]]-CuidadosPessoais25374961739710985253749617385[[#This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Cuidados Pessoais Estimados e Reais nesta tabela. A diferença é calculada automaticamente"/>
    </ext>
  </extLst>
</table>
</file>

<file path=xl/tables/table3.xml><?xml version="1.0" encoding="utf-8"?>
<table xmlns="http://schemas.openxmlformats.org/spreadsheetml/2006/main" id="3" name="Empréstimos16284052648810076" displayName="Empréstimos16284052648810076" ref="G26:J33" totalsRowCount="1" headerRowDxfId="241" dataDxfId="240" totalsRowDxfId="239">
  <autoFilter ref="G26:J32">
    <filterColumn colId="0" hiddenButton="1"/>
    <filterColumn colId="1" hiddenButton="1"/>
    <filterColumn colId="2" hiddenButton="1"/>
    <filterColumn colId="3" hiddenButton="1"/>
  </autoFilter>
  <tableColumns count="4">
    <tableColumn id="1" name="EMPRÉSTIMOS" totalsRowLabel="Subtotal" dataDxfId="238" totalsRowDxfId="237" dataCellStyle="Normal 2"/>
    <tableColumn id="2" name="Custo Estimado" dataDxfId="236" totalsRowDxfId="235" dataCellStyle="Normal 2"/>
    <tableColumn id="3" name="Custo Real" dataDxfId="234" totalsRowDxfId="233" dataCellStyle="Normal 2"/>
    <tableColumn id="4" name="Variância" totalsRowFunction="sum" dataDxfId="232" totalsRowDxfId="231" dataCellStyle="Normal 2">
      <calculatedColumnFormula>Empréstimos16284052648810076[[#This Row],[Custo Estimado]]-Empréstimos16284052648810076[[#This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Empréstimos Estimados e Reais nesta tabela. A diferença é calculada automaticamente"/>
    </ext>
  </extLst>
</table>
</file>

<file path=xl/tables/table4.xml><?xml version="1.0" encoding="utf-8"?>
<table xmlns="http://schemas.openxmlformats.org/spreadsheetml/2006/main" id="4" name="Transportes17294153658910177" displayName="Transportes17294153658910177" ref="B27:E35" totalsRowCount="1" headerRowDxfId="230" dataDxfId="229" totalsRowDxfId="228">
  <autoFilter ref="B27:E34">
    <filterColumn colId="0" hiddenButton="1"/>
    <filterColumn colId="1" hiddenButton="1"/>
    <filterColumn colId="2" hiddenButton="1"/>
    <filterColumn colId="3" hiddenButton="1"/>
  </autoFilter>
  <tableColumns count="4">
    <tableColumn id="1" name="TRANSPORTES" totalsRowLabel="Subtotal" dataDxfId="227" totalsRowDxfId="226" dataCellStyle="Normal 2"/>
    <tableColumn id="2" name="Custo Estimado" totalsRowFunction="custom" dataDxfId="225" totalsRowDxfId="224" dataCellStyle="Normal 2">
      <calculatedColumnFormula>750*22</calculatedColumnFormula>
      <totalsRowFormula>SUM(C28:C34)</totalsRowFormula>
    </tableColumn>
    <tableColumn id="3" name="Custo Real" totalsRowFunction="custom" dataDxfId="223" totalsRowDxfId="222" dataCellStyle="Normal 2">
      <totalsRowFormula>SUM(D28:D34)</totalsRowFormula>
    </tableColumn>
    <tableColumn id="4" name="Variância" totalsRowFunction="sum" dataDxfId="221" totalsRowDxfId="220" dataCellStyle="Normal 2">
      <calculatedColumnFormula>Transportes17294153658910177[[#This Row],[Custo Estimado]]-Transportes17294153658910177[[#This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Transportes Estimados e Reais nesta tabela. A diferença é calculada automaticamente"/>
    </ext>
  </extLst>
</table>
</file>

<file path=xl/tables/table5.xml><?xml version="1.0" encoding="utf-8"?>
<table xmlns="http://schemas.openxmlformats.org/spreadsheetml/2006/main" id="5" name="Seguro18304254669010278" displayName="Seguro18304254669010278" ref="B37:E42" totalsRowCount="1" headerRowDxfId="219" dataDxfId="218" totalsRowDxfId="217">
  <autoFilter ref="B37:E41">
    <filterColumn colId="0" hiddenButton="1"/>
    <filterColumn colId="1" hiddenButton="1"/>
    <filterColumn colId="2" hiddenButton="1"/>
    <filterColumn colId="3" hiddenButton="1"/>
  </autoFilter>
  <tableColumns count="4">
    <tableColumn id="1" name="SEGURO" totalsRowLabel="Subtotal" dataDxfId="216" totalsRowDxfId="215" dataCellStyle="Normal 2"/>
    <tableColumn id="2" name="Custo Estimado" totalsRowFunction="custom" dataDxfId="214" totalsRowDxfId="213" dataCellStyle="Normal 2">
      <totalsRowFormula>SUM(C38:C41)</totalsRowFormula>
    </tableColumn>
    <tableColumn id="3" name="Custo Real" totalsRowFunction="custom" dataDxfId="212" totalsRowDxfId="211" dataCellStyle="Normal 2">
      <totalsRowFormula>SUM(D38:D41)</totalsRowFormula>
    </tableColumn>
    <tableColumn id="4" name="Variância" totalsRowFunction="sum" dataDxfId="210" totalsRowDxfId="209" dataCellStyle="Normal 2">
      <calculatedColumnFormula>Seguro18304254669010278[[#This Row],[Custo Estimado]]-Seguro18304254669010278[[#This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Seguros Estimados e Reais nesta tabela. A diferença é calculada automaticamente"/>
    </ext>
  </extLst>
</table>
</file>

<file path=xl/tables/table6.xml><?xml version="1.0" encoding="utf-8"?>
<table xmlns="http://schemas.openxmlformats.org/spreadsheetml/2006/main" id="6" name="Impostos19314355679110379" displayName="Impostos19314355679110379" ref="G35:J40" totalsRowCount="1" headerRowDxfId="208" dataDxfId="207" totalsRowDxfId="206">
  <autoFilter ref="G35:J39">
    <filterColumn colId="0" hiddenButton="1"/>
    <filterColumn colId="1" hiddenButton="1"/>
    <filterColumn colId="2" hiddenButton="1"/>
    <filterColumn colId="3" hiddenButton="1"/>
  </autoFilter>
  <tableColumns count="4">
    <tableColumn id="1" name="IMPOSTOS" totalsRowLabel="Subtotal" dataDxfId="205" totalsRowDxfId="204" dataCellStyle="Normal 2"/>
    <tableColumn id="2" name="Custo Estimado" dataDxfId="203" totalsRowDxfId="202" dataCellStyle="Normal 2"/>
    <tableColumn id="3" name="Custo Real" dataDxfId="201" totalsRowDxfId="200" dataCellStyle="Normal 2"/>
    <tableColumn id="4" name="Variância" totalsRowFunction="sum" dataDxfId="199" totalsRowDxfId="198" dataCellStyle="Normal 2">
      <calculatedColumnFormula>Impostos19314355679110379[[#This Row],[Custo Estimado]]-Impostos19314355679110379[[#This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Impostos Estimados e Reais nesta tabela. A diferença é calculada automaticamente"/>
    </ext>
  </extLst>
</table>
</file>

<file path=xl/tables/table7.xml><?xml version="1.0" encoding="utf-8"?>
<table xmlns="http://schemas.openxmlformats.org/spreadsheetml/2006/main" id="7" name="Poupanças20324456689210480" displayName="Poupanças20324456689210480" ref="G42:J46" totalsRowCount="1" headerRowDxfId="197" dataDxfId="196" totalsRowDxfId="195">
  <autoFilter ref="G42:J45">
    <filterColumn colId="0" hiddenButton="1"/>
    <filterColumn colId="1" hiddenButton="1"/>
    <filterColumn colId="2" hiddenButton="1"/>
    <filterColumn colId="3" hiddenButton="1"/>
  </autoFilter>
  <tableColumns count="4">
    <tableColumn id="1" name="POUPANÇAS OU INVESTIMENTOS" totalsRowLabel="Subtotal" dataDxfId="194" totalsRowDxfId="193" dataCellStyle="Normal 2"/>
    <tableColumn id="2" name="Custo Estimado" dataDxfId="192" totalsRowDxfId="191" dataCellStyle="Normal 2"/>
    <tableColumn id="3" name="Custo Real" dataDxfId="190" totalsRowDxfId="189" dataCellStyle="Normal 2"/>
    <tableColumn id="4" name="Variância" totalsRowFunction="sum" dataDxfId="188" totalsRowDxfId="187" dataCellStyle="Normal 2">
      <calculatedColumnFormula>Poupanças20324456689210480[[#This Row],[Custo Estimado]]-Poupanças20324456689210480[[#This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Poupanças ou Investimentos Estimados e Reais nesta tabela. A diferença é calculada automaticamente"/>
    </ext>
  </extLst>
</table>
</file>

<file path=xl/tables/table8.xml><?xml version="1.0" encoding="utf-8"?>
<table xmlns="http://schemas.openxmlformats.org/spreadsheetml/2006/main" id="8" name="Comida21334557699310581" displayName="Comida21334557699310581" ref="B44:E48" totalsRowCount="1" headerRowDxfId="186" dataDxfId="185" totalsRowDxfId="184">
  <autoFilter ref="B44:E47">
    <filterColumn colId="0" hiddenButton="1"/>
    <filterColumn colId="1" hiddenButton="1"/>
    <filterColumn colId="2" hiddenButton="1"/>
    <filterColumn colId="3" hiddenButton="1"/>
  </autoFilter>
  <tableColumns count="4">
    <tableColumn id="1" name="COMIDA" totalsRowLabel="Subtotal" dataDxfId="183" totalsRowDxfId="3" dataCellStyle="Normal 2"/>
    <tableColumn id="2" name="Custo Estimado" totalsRowFunction="custom" dataDxfId="182" totalsRowDxfId="2" dataCellStyle="Normal 2">
      <totalsRowFormula>SUM(Comida21334557699310581[Custo Estimado])</totalsRowFormula>
    </tableColumn>
    <tableColumn id="3" name="Custo Real" totalsRowFunction="custom" dataDxfId="181" totalsRowDxfId="1" dataCellStyle="Normal 2">
      <totalsRowFormula>SUM(Comida21334557699310581[Custo Real])</totalsRowFormula>
    </tableColumn>
    <tableColumn id="4" name="Variância" totalsRowFunction="sum" dataDxfId="180" totalsRowDxfId="0" dataCellStyle="Normal 2">
      <calculatedColumnFormula>Comida21334557699310581[[#This Row],[Custo Estimado]]-Comida21334557699310581[[#This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Comida Estimados e Reais nesta tabela. A diferença é calculada automaticamente"/>
    </ext>
  </extLst>
</table>
</file>

<file path=xl/tables/table9.xml><?xml version="1.0" encoding="utf-8"?>
<table xmlns="http://schemas.openxmlformats.org/spreadsheetml/2006/main" id="9" name="Presentes22344658709410682" displayName="Presentes22344658709410682" ref="G48:J52" totalsRowCount="1" headerRowDxfId="179" dataDxfId="178" totalsRowDxfId="177">
  <autoFilter ref="G48:J51">
    <filterColumn colId="0" hiddenButton="1"/>
    <filterColumn colId="1" hiddenButton="1"/>
    <filterColumn colId="2" hiddenButton="1"/>
    <filterColumn colId="3" hiddenButton="1"/>
  </autoFilter>
  <tableColumns count="4">
    <tableColumn id="1" name="PRESENTES E DOAÇÕES (familiares e amigos)" totalsRowLabel="Subtotal" dataDxfId="176" totalsRowDxfId="175" dataCellStyle="Normal 2"/>
    <tableColumn id="2" name="Custo Estimado" dataDxfId="174" totalsRowDxfId="173" dataCellStyle="Normal 2"/>
    <tableColumn id="3" name="Custo Real" totalsRowFunction="custom" dataDxfId="172" totalsRowDxfId="171" dataCellStyle="Normal 2">
      <totalsRowFormula>SUM(Presentes22344658709410682[Custo Real])</totalsRowFormula>
    </tableColumn>
    <tableColumn id="4" name="Variância" totalsRowFunction="sum" dataDxfId="170" totalsRowDxfId="169" dataCellStyle="Normal 2">
      <calculatedColumnFormula>Presentes22344658709410682[[#This Row],[Custo Estimado]]-Presentes22344658709410682[[#This Row],[Custo Real]]</calculatedColumnFormula>
    </tableColumn>
  </tableColumns>
  <tableStyleInfo name="Livro de Endereços" showFirstColumn="1" showLastColumn="1" showRowStripes="1" showColumnStripes="0"/>
  <extLst>
    <ext xmlns:x14="http://schemas.microsoft.com/office/spreadsheetml/2009/9/main" uri="{504A1905-F514-4f6f-8877-14C23A59335A}">
      <x14:table altTextSummary="Introduza os Custos de Presentes e Doações Estimados e Reais nesta tabela. A diferença é calculada automaticamente"/>
    </ext>
  </extLst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13" Type="http://schemas.openxmlformats.org/officeDocument/2006/relationships/table" Target="../tables/table23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12" Type="http://schemas.openxmlformats.org/officeDocument/2006/relationships/table" Target="../tables/table2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11" Type="http://schemas.openxmlformats.org/officeDocument/2006/relationships/table" Target="../tables/table21.xml"/><Relationship Id="rId5" Type="http://schemas.openxmlformats.org/officeDocument/2006/relationships/table" Target="../tables/table15.xml"/><Relationship Id="rId10" Type="http://schemas.openxmlformats.org/officeDocument/2006/relationships/table" Target="../tables/table20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Relationship Id="rId1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B1:B17"/>
  <sheetViews>
    <sheetView showGridLines="0" tabSelected="1" workbookViewId="0">
      <selection activeCell="B5" sqref="B5"/>
    </sheetView>
  </sheetViews>
  <sheetFormatPr defaultColWidth="8.6640625" defaultRowHeight="13.8" x14ac:dyDescent="0.3"/>
  <cols>
    <col min="1" max="1" width="2.88671875" style="3" customWidth="1"/>
    <col min="2" max="2" width="95.33203125" style="3" customWidth="1"/>
    <col min="3" max="3" width="3.109375" style="3" customWidth="1"/>
    <col min="4" max="16384" width="8.6640625" style="3"/>
  </cols>
  <sheetData>
    <row r="1" spans="2:2" s="1" customFormat="1" ht="30" customHeight="1" x14ac:dyDescent="0.3">
      <c r="B1" s="55" t="s">
        <v>0</v>
      </c>
    </row>
    <row r="2" spans="2:2" ht="48.6" customHeight="1" x14ac:dyDescent="0.3">
      <c r="B2" s="2" t="s">
        <v>116</v>
      </c>
    </row>
    <row r="3" spans="2:2" ht="34.35" customHeight="1" x14ac:dyDescent="0.3">
      <c r="B3" s="2" t="s">
        <v>109</v>
      </c>
    </row>
    <row r="4" spans="2:2" ht="33.75" customHeight="1" x14ac:dyDescent="0.3">
      <c r="B4" s="2" t="s">
        <v>1</v>
      </c>
    </row>
    <row r="5" spans="2:2" ht="33.75" customHeight="1" x14ac:dyDescent="0.3">
      <c r="B5" s="2"/>
    </row>
    <row r="7" spans="2:2" ht="158.4" x14ac:dyDescent="0.3">
      <c r="B7" s="56" t="s">
        <v>119</v>
      </c>
    </row>
    <row r="9" spans="2:2" x14ac:dyDescent="0.3">
      <c r="B9" s="33"/>
    </row>
    <row r="17" spans="2:2" ht="30.6" customHeight="1" x14ac:dyDescent="0.3">
      <c r="B17" s="4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L67"/>
  <sheetViews>
    <sheetView showGridLines="0" zoomScale="62" zoomScaleNormal="62" workbookViewId="0">
      <selection activeCell="C12" sqref="C12"/>
    </sheetView>
  </sheetViews>
  <sheetFormatPr defaultColWidth="8.6640625" defaultRowHeight="13.8" x14ac:dyDescent="0.3"/>
  <cols>
    <col min="1" max="1" width="3.109375" style="4" customWidth="1"/>
    <col min="2" max="2" width="58.44140625" style="3" customWidth="1"/>
    <col min="3" max="3" width="21.109375" style="3" customWidth="1"/>
    <col min="4" max="4" width="19.44140625" style="3" bestFit="1" customWidth="1"/>
    <col min="5" max="5" width="19.88671875" style="3" bestFit="1" customWidth="1"/>
    <col min="6" max="6" width="3.109375" style="3" customWidth="1"/>
    <col min="7" max="7" width="58.44140625" style="3" customWidth="1"/>
    <col min="8" max="8" width="32.5546875" style="3" bestFit="1" customWidth="1"/>
    <col min="9" max="9" width="19" style="3" bestFit="1" customWidth="1"/>
    <col min="10" max="10" width="26.33203125" style="3" bestFit="1" customWidth="1"/>
    <col min="11" max="11" width="3.109375" style="3" customWidth="1"/>
    <col min="12" max="16384" width="8.6640625" style="3"/>
  </cols>
  <sheetData>
    <row r="1" spans="1:10" s="14" customFormat="1" ht="14.4" x14ac:dyDescent="0.3">
      <c r="A1" s="19" t="s">
        <v>73</v>
      </c>
    </row>
    <row r="2" spans="1:10" s="14" customFormat="1" ht="71.25" customHeight="1" x14ac:dyDescent="0.85">
      <c r="A2" s="18" t="s">
        <v>72</v>
      </c>
      <c r="B2" s="58" t="s">
        <v>115</v>
      </c>
      <c r="C2" s="58"/>
      <c r="D2" s="58"/>
      <c r="E2" s="58"/>
      <c r="F2" s="58"/>
      <c r="G2" s="58"/>
      <c r="H2" s="58"/>
      <c r="I2" s="58"/>
      <c r="J2" s="58"/>
    </row>
    <row r="4" spans="1:10" ht="24.9" customHeight="1" x14ac:dyDescent="0.3">
      <c r="A4" s="4" t="s">
        <v>71</v>
      </c>
      <c r="B4" s="62"/>
      <c r="C4" s="63"/>
      <c r="D4" s="12"/>
      <c r="E4" s="64" t="s">
        <v>90</v>
      </c>
      <c r="F4" s="65"/>
      <c r="G4" s="66"/>
      <c r="H4" s="73">
        <f>C12-J63</f>
        <v>740000</v>
      </c>
    </row>
    <row r="5" spans="1:10" ht="24.9" customHeight="1" x14ac:dyDescent="0.3">
      <c r="B5" s="41"/>
      <c r="C5" s="42"/>
      <c r="E5" s="67"/>
      <c r="F5" s="68"/>
      <c r="G5" s="69"/>
      <c r="H5" s="74"/>
      <c r="I5" s="9"/>
    </row>
    <row r="6" spans="1:10" ht="24.9" customHeight="1" x14ac:dyDescent="0.3">
      <c r="B6" s="41"/>
      <c r="C6" s="42"/>
      <c r="E6" s="67"/>
      <c r="F6" s="68"/>
      <c r="G6" s="69"/>
      <c r="H6" s="74"/>
      <c r="I6" s="9"/>
    </row>
    <row r="7" spans="1:10" ht="24.9" customHeight="1" x14ac:dyDescent="0.3">
      <c r="A7" s="4" t="s">
        <v>99</v>
      </c>
      <c r="B7" s="41"/>
      <c r="C7" s="43"/>
      <c r="E7" s="67"/>
      <c r="F7" s="68"/>
      <c r="G7" s="69"/>
      <c r="H7" s="74"/>
      <c r="I7" s="9"/>
    </row>
    <row r="8" spans="1:10" ht="24.9" customHeight="1" x14ac:dyDescent="0.3">
      <c r="B8" s="13"/>
      <c r="C8" s="13"/>
      <c r="D8" s="13"/>
      <c r="E8" s="67"/>
      <c r="F8" s="68"/>
      <c r="G8" s="69"/>
      <c r="H8" s="74"/>
      <c r="I8" s="9"/>
    </row>
    <row r="9" spans="1:10" ht="24.9" customHeight="1" x14ac:dyDescent="0.3">
      <c r="A9" s="4" t="s">
        <v>67</v>
      </c>
      <c r="B9" s="76" t="s">
        <v>114</v>
      </c>
      <c r="C9" s="77"/>
      <c r="D9" s="12"/>
      <c r="E9" s="70"/>
      <c r="F9" s="71"/>
      <c r="G9" s="72"/>
      <c r="H9" s="75"/>
      <c r="I9" s="11"/>
    </row>
    <row r="10" spans="1:10" ht="24.9" customHeight="1" x14ac:dyDescent="0.3">
      <c r="B10" s="8" t="s">
        <v>65</v>
      </c>
      <c r="C10" s="24">
        <v>700000</v>
      </c>
      <c r="G10" s="32"/>
      <c r="I10" s="9"/>
    </row>
    <row r="11" spans="1:10" ht="24.9" customHeight="1" x14ac:dyDescent="0.3">
      <c r="A11" s="4" t="s">
        <v>82</v>
      </c>
      <c r="B11" s="8" t="s">
        <v>98</v>
      </c>
      <c r="C11" s="24">
        <v>40000</v>
      </c>
      <c r="D11" s="31"/>
      <c r="E11" s="9"/>
      <c r="H11" s="10"/>
      <c r="I11" s="9"/>
    </row>
    <row r="12" spans="1:10" ht="24.9" customHeight="1" x14ac:dyDescent="0.3">
      <c r="B12" s="8" t="s">
        <v>63</v>
      </c>
      <c r="C12" s="25">
        <f>SUM(C10:C11)</f>
        <v>740000</v>
      </c>
    </row>
    <row r="14" spans="1:10" ht="24.9" customHeight="1" x14ac:dyDescent="0.3">
      <c r="A14" s="4" t="s">
        <v>62</v>
      </c>
      <c r="B14" s="53" t="s">
        <v>61</v>
      </c>
      <c r="C14" s="54" t="s">
        <v>16</v>
      </c>
      <c r="D14" s="54" t="s">
        <v>97</v>
      </c>
      <c r="E14" s="54" t="s">
        <v>88</v>
      </c>
      <c r="F14" s="44"/>
      <c r="G14" s="53" t="s">
        <v>113</v>
      </c>
      <c r="H14" s="54" t="s">
        <v>16</v>
      </c>
      <c r="I14" s="54" t="s">
        <v>15</v>
      </c>
      <c r="J14" s="54" t="s">
        <v>88</v>
      </c>
    </row>
    <row r="15" spans="1:10" ht="24.9" customHeight="1" x14ac:dyDescent="0.3">
      <c r="B15" s="45" t="s">
        <v>117</v>
      </c>
      <c r="C15" s="46">
        <v>169000</v>
      </c>
      <c r="D15" s="46"/>
      <c r="E15" s="46">
        <f>Habitação1426385062869874[[#This Row],[Custo Estimado]]-Habitação1426385062869874[[#This Row],[Custo real]]</f>
        <v>169000</v>
      </c>
      <c r="F15" s="47"/>
      <c r="G15" s="45" t="s">
        <v>54</v>
      </c>
      <c r="H15" s="46">
        <v>0</v>
      </c>
      <c r="I15" s="46"/>
      <c r="J15" s="46">
        <f>Lazer1527395163879975[[#This Row],[Custo Estimado]]-Lazer1527395163879975[[#This Row],[Custo Real]]</f>
        <v>0</v>
      </c>
    </row>
    <row r="16" spans="1:10" ht="24.9" customHeight="1" x14ac:dyDescent="0.3">
      <c r="B16" s="45" t="s">
        <v>111</v>
      </c>
      <c r="C16" s="46">
        <v>22000</v>
      </c>
      <c r="D16" s="46"/>
      <c r="E16" s="46">
        <f>Habitação1426385062869874[[#This Row],[Custo Estimado]]-Habitação1426385062869874[[#This Row],[Custo real]]</f>
        <v>22000</v>
      </c>
      <c r="F16" s="47"/>
      <c r="G16" s="45" t="s">
        <v>54</v>
      </c>
      <c r="H16" s="46">
        <v>0</v>
      </c>
      <c r="I16" s="46"/>
      <c r="J16" s="46">
        <f>Lazer1527395163879975[[#This Row],[Custo Estimado]]-Lazer1527395163879975[[#This Row],[Custo Real]]</f>
        <v>0</v>
      </c>
    </row>
    <row r="17" spans="1:10" ht="24.9" customHeight="1" x14ac:dyDescent="0.3">
      <c r="B17" s="45" t="s">
        <v>58</v>
      </c>
      <c r="C17" s="46">
        <v>9000</v>
      </c>
      <c r="D17" s="46"/>
      <c r="E17" s="46">
        <f>Habitação1426385062869874[[#This Row],[Custo Estimado]]-Habitação1426385062869874[[#This Row],[Custo real]]</f>
        <v>9000</v>
      </c>
      <c r="F17" s="47"/>
      <c r="G17" s="45" t="s">
        <v>54</v>
      </c>
      <c r="H17" s="46">
        <v>0</v>
      </c>
      <c r="I17" s="46"/>
      <c r="J17" s="46">
        <f>Lazer1527395163879975[[#This Row],[Custo Estimado]]-Lazer1527395163879975[[#This Row],[Custo Real]]</f>
        <v>0</v>
      </c>
    </row>
    <row r="18" spans="1:10" ht="24.9" customHeight="1" x14ac:dyDescent="0.3">
      <c r="B18" s="45" t="s">
        <v>89</v>
      </c>
      <c r="C18" s="46">
        <v>4000</v>
      </c>
      <c r="D18" s="46"/>
      <c r="E18" s="46">
        <f>Habitação1426385062869874[[#This Row],[Custo Estimado]]-Habitação1426385062869874[[#This Row],[Custo real]]</f>
        <v>4000</v>
      </c>
      <c r="F18" s="47"/>
      <c r="G18" s="45" t="s">
        <v>54</v>
      </c>
      <c r="H18" s="46">
        <v>0</v>
      </c>
      <c r="I18" s="46"/>
      <c r="J18" s="46">
        <f>Lazer1527395163879975[[#This Row],[Custo Estimado]]-Lazer1527395163879975[[#This Row],[Custo Real]]</f>
        <v>0</v>
      </c>
    </row>
    <row r="19" spans="1:10" ht="24.9" customHeight="1" x14ac:dyDescent="0.3">
      <c r="B19" s="45" t="s">
        <v>56</v>
      </c>
      <c r="C19" s="46">
        <v>20000</v>
      </c>
      <c r="D19" s="46"/>
      <c r="E19" s="46">
        <f>Habitação1426385062869874[[#This Row],[Custo Estimado]]-Habitação1426385062869874[[#This Row],[Custo real]]</f>
        <v>20000</v>
      </c>
      <c r="F19" s="47"/>
      <c r="G19" s="45" t="s">
        <v>54</v>
      </c>
      <c r="H19" s="46">
        <v>0</v>
      </c>
      <c r="I19" s="46"/>
      <c r="J19" s="46">
        <f>Lazer1527395163879975[[#This Row],[Custo Estimado]]-Lazer1527395163879975[[#This Row],[Custo Real]]</f>
        <v>0</v>
      </c>
    </row>
    <row r="20" spans="1:10" ht="24.9" customHeight="1" x14ac:dyDescent="0.3">
      <c r="B20" s="45" t="s">
        <v>106</v>
      </c>
      <c r="C20" s="46">
        <v>6000</v>
      </c>
      <c r="D20" s="46"/>
      <c r="E20" s="46">
        <f>Habitação1426385062869874[[#This Row],[Custo Estimado]]-Habitação1426385062869874[[#This Row],[Custo real]]</f>
        <v>6000</v>
      </c>
      <c r="F20" s="47"/>
      <c r="G20" s="45" t="s">
        <v>54</v>
      </c>
      <c r="H20" s="46">
        <v>0</v>
      </c>
      <c r="I20" s="46"/>
      <c r="J20" s="46">
        <f>Lazer1527395163879975[[#This Row],[Custo Estimado]]-Lazer1527395163879975[[#This Row],[Custo Real]]</f>
        <v>0</v>
      </c>
    </row>
    <row r="21" spans="1:10" ht="24.9" customHeight="1" x14ac:dyDescent="0.3">
      <c r="B21" s="45" t="s">
        <v>110</v>
      </c>
      <c r="C21" s="46">
        <v>6000</v>
      </c>
      <c r="D21" s="46"/>
      <c r="E21" s="46">
        <f>Habitação1426385062869874[[#This Row],[Custo Estimado]]-Habitação1426385062869874[[#This Row],[Custo real]]</f>
        <v>6000</v>
      </c>
      <c r="F21" s="47"/>
      <c r="G21" s="45" t="s">
        <v>54</v>
      </c>
      <c r="H21" s="46">
        <v>0</v>
      </c>
      <c r="I21" s="46"/>
      <c r="J21" s="46">
        <f>Lazer1527395163879975[[#This Row],[Custo Estimado]]-Lazer1527395163879975[[#This Row],[Custo Real]]</f>
        <v>0</v>
      </c>
    </row>
    <row r="22" spans="1:10" ht="24.9" customHeight="1" x14ac:dyDescent="0.3">
      <c r="B22" s="45" t="s">
        <v>54</v>
      </c>
      <c r="C22" s="46"/>
      <c r="D22" s="46"/>
      <c r="E22" s="46">
        <f>Habitação1426385062869874[[#This Row],[Custo Estimado]]-Habitação1426385062869874[[#This Row],[Custo real]]</f>
        <v>0</v>
      </c>
      <c r="F22" s="47"/>
      <c r="G22" s="45" t="s">
        <v>54</v>
      </c>
      <c r="H22" s="46">
        <v>0</v>
      </c>
      <c r="I22" s="46"/>
      <c r="J22" s="46">
        <f>Lazer1527395163879975[[#This Row],[Custo Estimado]]-Lazer1527395163879975[[#This Row],[Custo Real]]</f>
        <v>0</v>
      </c>
    </row>
    <row r="23" spans="1:10" ht="24.9" customHeight="1" x14ac:dyDescent="0.3">
      <c r="B23" s="45" t="s">
        <v>54</v>
      </c>
      <c r="C23" s="46"/>
      <c r="D23" s="46"/>
      <c r="E23" s="46">
        <f>Habitação1426385062869874[[#This Row],[Custo Estimado]]-Habitação1426385062869874[[#This Row],[Custo real]]</f>
        <v>0</v>
      </c>
      <c r="F23" s="47"/>
      <c r="G23" s="45" t="s">
        <v>54</v>
      </c>
      <c r="H23" s="46">
        <v>0</v>
      </c>
      <c r="I23" s="46"/>
      <c r="J23" s="46">
        <f>Lazer1527395163879975[[#This Row],[Custo Estimado]]-Lazer1527395163879975[[#This Row],[Custo Real]]</f>
        <v>0</v>
      </c>
    </row>
    <row r="24" spans="1:10" ht="24.9" customHeight="1" x14ac:dyDescent="0.3">
      <c r="B24" s="45" t="s">
        <v>54</v>
      </c>
      <c r="C24" s="46"/>
      <c r="D24" s="46"/>
      <c r="E24" s="46">
        <f>Habitação1426385062869874[[#This Row],[Custo Estimado]]-Habitação1426385062869874[[#This Row],[Custo real]]</f>
        <v>0</v>
      </c>
      <c r="F24" s="47"/>
      <c r="G24" s="49" t="s">
        <v>2</v>
      </c>
      <c r="H24" s="50">
        <f>SUM(H15:H23)</f>
        <v>0</v>
      </c>
      <c r="I24" s="50">
        <f>SUM(I15:I23)</f>
        <v>0</v>
      </c>
      <c r="J24" s="50">
        <f>SUBTOTAL(109,Lazer1527395163879975[Variância])</f>
        <v>0</v>
      </c>
    </row>
    <row r="25" spans="1:10" ht="24.9" customHeight="1" x14ac:dyDescent="0.3">
      <c r="B25" s="49" t="s">
        <v>2</v>
      </c>
      <c r="C25" s="50">
        <f>SUBTOTAL(109,Habitação1426385062869874[Custo Estimado])</f>
        <v>236000</v>
      </c>
      <c r="D25" s="50">
        <f>SUBTOTAL(109,Habitação1426385062869874[Custo real])</f>
        <v>0</v>
      </c>
      <c r="E25" s="46">
        <f>SUBTOTAL(109,Habitação1426385062869874[Variância])</f>
        <v>236000</v>
      </c>
      <c r="F25" s="47"/>
      <c r="G25" s="59"/>
      <c r="H25" s="59"/>
      <c r="I25" s="59"/>
      <c r="J25" s="59"/>
    </row>
    <row r="26" spans="1:10" ht="24.9" customHeight="1" x14ac:dyDescent="0.3">
      <c r="B26" s="59"/>
      <c r="C26" s="59"/>
      <c r="D26" s="59"/>
      <c r="E26" s="59"/>
      <c r="F26" s="47"/>
      <c r="G26" s="53" t="s">
        <v>51</v>
      </c>
      <c r="H26" s="54" t="s">
        <v>16</v>
      </c>
      <c r="I26" s="54" t="s">
        <v>15</v>
      </c>
      <c r="J26" s="54" t="s">
        <v>88</v>
      </c>
    </row>
    <row r="27" spans="1:10" ht="24.9" customHeight="1" x14ac:dyDescent="0.3">
      <c r="A27" s="4" t="s">
        <v>50</v>
      </c>
      <c r="B27" s="53" t="s">
        <v>49</v>
      </c>
      <c r="C27" s="54" t="s">
        <v>16</v>
      </c>
      <c r="D27" s="54" t="s">
        <v>15</v>
      </c>
      <c r="E27" s="54" t="s">
        <v>88</v>
      </c>
      <c r="F27" s="47"/>
      <c r="G27" s="45" t="s">
        <v>48</v>
      </c>
      <c r="H27" s="48"/>
      <c r="I27" s="46"/>
      <c r="J27" s="46">
        <f>Empréstimos16284052648810076[[#This Row],[Custo Estimado]]-Empréstimos16284052648810076[[#This Row],[Custo Real]]</f>
        <v>0</v>
      </c>
    </row>
    <row r="28" spans="1:10" ht="24.9" customHeight="1" x14ac:dyDescent="0.3">
      <c r="B28" s="45" t="s">
        <v>47</v>
      </c>
      <c r="C28" s="46">
        <v>0</v>
      </c>
      <c r="D28" s="46"/>
      <c r="E28" s="46">
        <f>Transportes17294153658910177[[#This Row],[Custo Estimado]]-Transportes17294153658910177[[#This Row],[Custo Real]]</f>
        <v>0</v>
      </c>
      <c r="F28" s="47"/>
      <c r="G28" s="45" t="s">
        <v>46</v>
      </c>
      <c r="H28" s="48"/>
      <c r="I28" s="46"/>
      <c r="J28" s="46">
        <f>Empréstimos16284052648810076[[#This Row],[Custo Estimado]]-Empréstimos16284052648810076[[#This Row],[Custo Real]]</f>
        <v>0</v>
      </c>
    </row>
    <row r="29" spans="1:10" ht="24.9" customHeight="1" x14ac:dyDescent="0.3">
      <c r="B29" s="45" t="s">
        <v>45</v>
      </c>
      <c r="C29" s="46">
        <v>0</v>
      </c>
      <c r="D29" s="46"/>
      <c r="E29" s="46">
        <f>Transportes17294153658910177[[#This Row],[Custo Estimado]]-Transportes17294153658910177[[#This Row],[Custo Real]]</f>
        <v>0</v>
      </c>
      <c r="F29" s="47"/>
      <c r="G29" s="45" t="s">
        <v>43</v>
      </c>
      <c r="H29" s="48"/>
      <c r="I29" s="46"/>
      <c r="J29" s="46">
        <f>Empréstimos16284052648810076[[#This Row],[Custo Estimado]]-Empréstimos16284052648810076[[#This Row],[Custo Real]]</f>
        <v>0</v>
      </c>
    </row>
    <row r="30" spans="1:10" ht="24.9" customHeight="1" x14ac:dyDescent="0.3">
      <c r="B30" s="45" t="s">
        <v>85</v>
      </c>
      <c r="C30" s="46">
        <v>5000</v>
      </c>
      <c r="D30" s="46"/>
      <c r="E30" s="46">
        <f>Transportes17294153658910177[[#This Row],[Custo Estimado]]-Transportes17294153658910177[[#This Row],[Custo Real]]</f>
        <v>5000</v>
      </c>
      <c r="F30" s="47"/>
      <c r="G30" s="45" t="s">
        <v>43</v>
      </c>
      <c r="H30" s="48"/>
      <c r="I30" s="46"/>
      <c r="J30" s="46">
        <f>Empréstimos16284052648810076[[#This Row],[Custo Estimado]]-Empréstimos16284052648810076[[#This Row],[Custo Real]]</f>
        <v>0</v>
      </c>
    </row>
    <row r="31" spans="1:10" ht="24.9" customHeight="1" x14ac:dyDescent="0.3">
      <c r="B31" s="45" t="s">
        <v>44</v>
      </c>
      <c r="C31" s="46">
        <v>3000</v>
      </c>
      <c r="D31" s="46"/>
      <c r="E31" s="46">
        <f>Transportes17294153658910177[[#This Row],[Custo Estimado]]-Transportes17294153658910177[[#This Row],[Custo Real]]</f>
        <v>3000</v>
      </c>
      <c r="F31" s="47"/>
      <c r="G31" s="45" t="s">
        <v>43</v>
      </c>
      <c r="H31" s="48"/>
      <c r="I31" s="46"/>
      <c r="J31" s="46">
        <f>Empréstimos16284052648810076[[#This Row],[Custo Estimado]]-Empréstimos16284052648810076[[#This Row],[Custo Real]]</f>
        <v>0</v>
      </c>
    </row>
    <row r="32" spans="1:10" ht="24.9" customHeight="1" x14ac:dyDescent="0.3">
      <c r="B32" s="45" t="s">
        <v>42</v>
      </c>
      <c r="C32" s="46">
        <v>40000</v>
      </c>
      <c r="D32" s="46"/>
      <c r="E32" s="46">
        <f>Transportes17294153658910177[[#This Row],[Custo Estimado]]-Transportes17294153658910177[[#This Row],[Custo Real]]</f>
        <v>40000</v>
      </c>
      <c r="F32" s="47"/>
      <c r="G32" s="45" t="s">
        <v>4</v>
      </c>
      <c r="H32" s="48"/>
      <c r="I32" s="46"/>
      <c r="J32" s="46">
        <f>Empréstimos16284052648810076[[#This Row],[Custo Estimado]]-Empréstimos16284052648810076[[#This Row],[Custo Real]]</f>
        <v>0</v>
      </c>
    </row>
    <row r="33" spans="1:10" ht="24.9" customHeight="1" x14ac:dyDescent="0.3">
      <c r="B33" s="45" t="s">
        <v>84</v>
      </c>
      <c r="C33" s="46">
        <v>35000</v>
      </c>
      <c r="D33" s="46"/>
      <c r="E33" s="46">
        <f>Transportes17294153658910177[[#This Row],[Custo Estimado]]-Transportes17294153658910177[[#This Row],[Custo Real]]</f>
        <v>35000</v>
      </c>
      <c r="F33" s="47"/>
      <c r="G33" s="51" t="s">
        <v>2</v>
      </c>
      <c r="H33" s="48"/>
      <c r="I33" s="46"/>
      <c r="J33" s="46">
        <f>SUBTOTAL(109,Empréstimos16284052648810076[Variância])</f>
        <v>0</v>
      </c>
    </row>
    <row r="34" spans="1:10" ht="24.9" customHeight="1" x14ac:dyDescent="0.3">
      <c r="B34" s="45" t="s">
        <v>4</v>
      </c>
      <c r="C34" s="46"/>
      <c r="D34" s="46"/>
      <c r="E34" s="46">
        <f>Transportes17294153658910177[[#This Row],[Custo Estimado]]-Transportes17294153658910177[[#This Row],[Custo Real]]</f>
        <v>0</v>
      </c>
      <c r="F34" s="47"/>
      <c r="G34" s="59"/>
      <c r="H34" s="59"/>
      <c r="I34" s="59"/>
      <c r="J34" s="59"/>
    </row>
    <row r="35" spans="1:10" ht="24.9" customHeight="1" x14ac:dyDescent="0.3">
      <c r="B35" s="49" t="s">
        <v>2</v>
      </c>
      <c r="C35" s="50">
        <f>SUM(C28:C34)</f>
        <v>83000</v>
      </c>
      <c r="D35" s="50">
        <f>SUM(D28:D34)</f>
        <v>0</v>
      </c>
      <c r="E35" s="50">
        <f>SUBTOTAL(109,Transportes17294153658910177[Variância])</f>
        <v>83000</v>
      </c>
      <c r="F35" s="47"/>
      <c r="G35" s="53" t="s">
        <v>41</v>
      </c>
      <c r="H35" s="54" t="s">
        <v>16</v>
      </c>
      <c r="I35" s="54" t="s">
        <v>15</v>
      </c>
      <c r="J35" s="54" t="s">
        <v>88</v>
      </c>
    </row>
    <row r="36" spans="1:10" ht="24.9" customHeight="1" x14ac:dyDescent="0.3">
      <c r="B36" s="59"/>
      <c r="C36" s="59"/>
      <c r="D36" s="59"/>
      <c r="E36" s="59"/>
      <c r="F36" s="47"/>
      <c r="G36" s="45" t="s">
        <v>102</v>
      </c>
      <c r="H36" s="46"/>
      <c r="I36" s="46"/>
      <c r="J36" s="46">
        <f>Impostos19314355679110379[[#This Row],[Custo Estimado]]-Impostos19314355679110379[[#This Row],[Custo Real]]</f>
        <v>0</v>
      </c>
    </row>
    <row r="37" spans="1:10" ht="24.9" customHeight="1" x14ac:dyDescent="0.3">
      <c r="A37" s="4" t="s">
        <v>39</v>
      </c>
      <c r="B37" s="53" t="s">
        <v>38</v>
      </c>
      <c r="C37" s="54" t="s">
        <v>16</v>
      </c>
      <c r="D37" s="54" t="s">
        <v>15</v>
      </c>
      <c r="E37" s="54" t="s">
        <v>88</v>
      </c>
      <c r="F37" s="47"/>
      <c r="G37" s="45" t="s">
        <v>103</v>
      </c>
      <c r="H37" s="46"/>
      <c r="I37" s="46"/>
      <c r="J37" s="46">
        <f>Impostos19314355679110379[[#This Row],[Custo Estimado]]-Impostos19314355679110379[[#This Row],[Custo Real]]</f>
        <v>0</v>
      </c>
    </row>
    <row r="38" spans="1:10" ht="24.9" customHeight="1" x14ac:dyDescent="0.3">
      <c r="B38" s="45" t="s">
        <v>36</v>
      </c>
      <c r="C38" s="46">
        <v>6000</v>
      </c>
      <c r="D38" s="46"/>
      <c r="E38" s="46">
        <f>Seguro18304254669010278[[#This Row],[Custo Estimado]]-Seguro18304254669010278[[#This Row],[Custo Real]]</f>
        <v>6000</v>
      </c>
      <c r="F38" s="47"/>
      <c r="G38" s="45" t="s">
        <v>104</v>
      </c>
      <c r="H38" s="46"/>
      <c r="I38" s="46"/>
      <c r="J38" s="46">
        <f>Impostos19314355679110379[[#This Row],[Custo Estimado]]-Impostos19314355679110379[[#This Row],[Custo Real]]</f>
        <v>0</v>
      </c>
    </row>
    <row r="39" spans="1:10" ht="24.9" customHeight="1" x14ac:dyDescent="0.3">
      <c r="B39" s="45" t="s">
        <v>34</v>
      </c>
      <c r="C39" s="46">
        <f>34000/12</f>
        <v>2833.3333333333335</v>
      </c>
      <c r="D39" s="46"/>
      <c r="E39" s="46">
        <f>Seguro18304254669010278[[#This Row],[Custo Estimado]]-Seguro18304254669010278[[#This Row],[Custo Real]]</f>
        <v>2833.3333333333335</v>
      </c>
      <c r="F39" s="47"/>
      <c r="G39" s="45" t="s">
        <v>105</v>
      </c>
      <c r="H39" s="46"/>
      <c r="I39" s="46"/>
      <c r="J39" s="46">
        <f>Impostos19314355679110379[[#This Row],[Custo Estimado]]-Impostos19314355679110379[[#This Row],[Custo Real]]</f>
        <v>0</v>
      </c>
    </row>
    <row r="40" spans="1:10" ht="24.9" customHeight="1" x14ac:dyDescent="0.3">
      <c r="B40" s="45" t="s">
        <v>112</v>
      </c>
      <c r="C40" s="46">
        <f>433000/12</f>
        <v>36083.333333333336</v>
      </c>
      <c r="D40" s="46"/>
      <c r="E40" s="46">
        <f>Seguro18304254669010278[[#This Row],[Custo Estimado]]-Seguro18304254669010278[[#This Row],[Custo Real]]</f>
        <v>36083.333333333336</v>
      </c>
      <c r="F40" s="47"/>
      <c r="G40" s="51" t="s">
        <v>2</v>
      </c>
      <c r="H40" s="46"/>
      <c r="I40" s="46"/>
      <c r="J40" s="46">
        <f>SUBTOTAL(109,Impostos19314355679110379[Variância])</f>
        <v>0</v>
      </c>
    </row>
    <row r="41" spans="1:10" ht="24.9" customHeight="1" x14ac:dyDescent="0.3">
      <c r="B41" s="45" t="s">
        <v>4</v>
      </c>
      <c r="C41" s="46"/>
      <c r="D41" s="46"/>
      <c r="E41" s="46">
        <f>Seguro18304254669010278[[#This Row],[Custo Estimado]]-Seguro18304254669010278[[#This Row],[Custo Real]]</f>
        <v>0</v>
      </c>
      <c r="F41" s="47"/>
      <c r="G41" s="59"/>
      <c r="H41" s="59"/>
      <c r="I41" s="59"/>
      <c r="J41" s="59"/>
    </row>
    <row r="42" spans="1:10" ht="24.9" customHeight="1" x14ac:dyDescent="0.3">
      <c r="B42" s="49" t="s">
        <v>2</v>
      </c>
      <c r="C42" s="50">
        <f>SUM(C38:C41)</f>
        <v>44916.666666666672</v>
      </c>
      <c r="D42" s="50">
        <f>SUM(D38:D41)</f>
        <v>0</v>
      </c>
      <c r="E42" s="50">
        <f>SUBTOTAL(109,Seguro18304254669010278[Variância])</f>
        <v>44916.666666666672</v>
      </c>
      <c r="F42" s="47"/>
      <c r="G42" s="53" t="s">
        <v>32</v>
      </c>
      <c r="H42" s="54" t="s">
        <v>16</v>
      </c>
      <c r="I42" s="54" t="s">
        <v>15</v>
      </c>
      <c r="J42" s="54" t="s">
        <v>88</v>
      </c>
    </row>
    <row r="43" spans="1:10" ht="24.9" customHeight="1" x14ac:dyDescent="0.3">
      <c r="B43" s="59"/>
      <c r="C43" s="59"/>
      <c r="D43" s="59"/>
      <c r="E43" s="59"/>
      <c r="F43" s="47"/>
      <c r="G43" s="45" t="s">
        <v>31</v>
      </c>
      <c r="H43" s="46">
        <v>20000</v>
      </c>
      <c r="I43" s="48"/>
      <c r="J43" s="46">
        <f>Poupanças20324456689210480[[#This Row],[Custo Estimado]]-Poupanças20324456689210480[[#This Row],[Custo Real]]</f>
        <v>20000</v>
      </c>
    </row>
    <row r="44" spans="1:10" ht="24.9" customHeight="1" x14ac:dyDescent="0.3">
      <c r="A44" s="4" t="s">
        <v>30</v>
      </c>
      <c r="B44" s="53" t="s">
        <v>29</v>
      </c>
      <c r="C44" s="54" t="s">
        <v>16</v>
      </c>
      <c r="D44" s="54" t="s">
        <v>15</v>
      </c>
      <c r="E44" s="54" t="s">
        <v>88</v>
      </c>
      <c r="F44" s="47"/>
      <c r="G44" s="45" t="s">
        <v>28</v>
      </c>
      <c r="H44" s="46">
        <v>20000</v>
      </c>
      <c r="I44" s="48"/>
      <c r="J44" s="48"/>
    </row>
    <row r="45" spans="1:10" ht="24.9" customHeight="1" x14ac:dyDescent="0.3">
      <c r="B45" s="45" t="s">
        <v>79</v>
      </c>
      <c r="C45" s="46">
        <v>65000</v>
      </c>
      <c r="D45" s="46"/>
      <c r="E45" s="46">
        <f>Comida21334557699310581[[#This Row],[Custo Estimado]]-Comida21334557699310581[[#This Row],[Custo Real]]</f>
        <v>65000</v>
      </c>
      <c r="F45" s="47"/>
      <c r="G45" s="45" t="s">
        <v>4</v>
      </c>
      <c r="H45" s="46"/>
      <c r="I45" s="48"/>
      <c r="J45" s="48"/>
    </row>
    <row r="46" spans="1:10" ht="24.9" customHeight="1" x14ac:dyDescent="0.3">
      <c r="B46" s="45" t="s">
        <v>96</v>
      </c>
      <c r="C46" s="46">
        <v>100000</v>
      </c>
      <c r="D46" s="46"/>
      <c r="E46" s="46">
        <f>Comida21334557699310581[[#This Row],[Custo Estimado]]-Comida21334557699310581[[#This Row],[Custo Real]]</f>
        <v>100000</v>
      </c>
      <c r="F46" s="47"/>
      <c r="G46" s="51" t="s">
        <v>2</v>
      </c>
      <c r="H46" s="48"/>
      <c r="I46" s="48"/>
      <c r="J46" s="46">
        <f>SUBTOTAL(109,Poupanças20324456689210480[Variância])</f>
        <v>20000</v>
      </c>
    </row>
    <row r="47" spans="1:10" ht="24.9" customHeight="1" x14ac:dyDescent="0.3">
      <c r="B47" s="45" t="s">
        <v>4</v>
      </c>
      <c r="C47" s="46">
        <v>60000</v>
      </c>
      <c r="D47" s="46"/>
      <c r="E47" s="46">
        <f>Comida21334557699310581[[#This Row],[Custo Estimado]]-Comida21334557699310581[[#This Row],[Custo Real]]</f>
        <v>60000</v>
      </c>
      <c r="F47" s="47"/>
      <c r="G47" s="59"/>
      <c r="H47" s="59"/>
      <c r="I47" s="59"/>
      <c r="J47" s="59"/>
    </row>
    <row r="48" spans="1:10" ht="24.9" customHeight="1" x14ac:dyDescent="0.3">
      <c r="B48" s="49" t="s">
        <v>2</v>
      </c>
      <c r="C48" s="50">
        <f>SUM(Comida21334557699310581[Custo Estimado])</f>
        <v>225000</v>
      </c>
      <c r="D48" s="50">
        <f>SUM(Comida21334557699310581[Custo Real])</f>
        <v>0</v>
      </c>
      <c r="E48" s="50">
        <f>SUBTOTAL(109,Comida21334557699310581[Variância])</f>
        <v>225000</v>
      </c>
      <c r="F48" s="47"/>
      <c r="G48" s="53" t="s">
        <v>26</v>
      </c>
      <c r="H48" s="54" t="s">
        <v>16</v>
      </c>
      <c r="I48" s="54" t="s">
        <v>15</v>
      </c>
      <c r="J48" s="54" t="s">
        <v>88</v>
      </c>
    </row>
    <row r="49" spans="1:12" ht="24.9" customHeight="1" x14ac:dyDescent="0.3">
      <c r="B49" s="59"/>
      <c r="C49" s="59"/>
      <c r="D49" s="59"/>
      <c r="E49" s="59"/>
      <c r="F49" s="47"/>
      <c r="G49" s="45" t="s">
        <v>91</v>
      </c>
      <c r="H49" s="46">
        <v>5000</v>
      </c>
      <c r="I49" s="46"/>
      <c r="J49" s="46">
        <f>Presentes22344658709410682[[#This Row],[Custo Estimado]]-Presentes22344658709410682[[#This Row],[Custo Real]]</f>
        <v>5000</v>
      </c>
    </row>
    <row r="50" spans="1:12" ht="24.9" customHeight="1" x14ac:dyDescent="0.3">
      <c r="A50" s="4" t="s">
        <v>24</v>
      </c>
      <c r="B50" s="53" t="s">
        <v>113</v>
      </c>
      <c r="C50" s="54" t="s">
        <v>16</v>
      </c>
      <c r="D50" s="54" t="s">
        <v>15</v>
      </c>
      <c r="E50" s="54" t="s">
        <v>88</v>
      </c>
      <c r="F50" s="47"/>
      <c r="G50" s="45" t="s">
        <v>92</v>
      </c>
      <c r="H50" s="46">
        <v>10000</v>
      </c>
      <c r="I50" s="46"/>
      <c r="J50" s="46">
        <f>Presentes22344658709410682[[#This Row],[Custo Estimado]]-Presentes22344658709410682[[#This Row],[Custo Real]]</f>
        <v>10000</v>
      </c>
    </row>
    <row r="51" spans="1:12" ht="24.9" customHeight="1" x14ac:dyDescent="0.3">
      <c r="B51" s="45" t="s">
        <v>23</v>
      </c>
      <c r="C51" s="46"/>
      <c r="D51" s="52"/>
      <c r="E51" s="46">
        <f>Animais_de_Estimação23354759719510783[[#This Row],[Custo Estimado]]-Animais_de_Estimação23354759719510783[[#This Row],[Custo Real]]</f>
        <v>0</v>
      </c>
      <c r="F51" s="47"/>
      <c r="G51" s="45" t="s">
        <v>93</v>
      </c>
      <c r="H51" s="46"/>
      <c r="I51" s="46"/>
      <c r="J51" s="46">
        <f>Presentes22344658709410682[[#This Row],[Custo Estimado]]-Presentes22344658709410682[[#This Row],[Custo Real]]</f>
        <v>0</v>
      </c>
    </row>
    <row r="52" spans="1:12" ht="24.9" customHeight="1" x14ac:dyDescent="0.3">
      <c r="B52" s="45" t="s">
        <v>23</v>
      </c>
      <c r="C52" s="46"/>
      <c r="D52" s="52"/>
      <c r="E52" s="46">
        <f>Animais_de_Estimação23354759719510783[[#This Row],[Custo Estimado]]-Animais_de_Estimação23354759719510783[[#This Row],[Custo Real]]</f>
        <v>0</v>
      </c>
      <c r="F52" s="47"/>
      <c r="G52" s="49" t="s">
        <v>2</v>
      </c>
      <c r="H52" s="50"/>
      <c r="I52" s="50">
        <f>SUM(Presentes22344658709410682[Custo Real])</f>
        <v>0</v>
      </c>
      <c r="J52" s="50">
        <f>SUBTOTAL(109,Presentes22344658709410682[Variância])</f>
        <v>15000</v>
      </c>
    </row>
    <row r="53" spans="1:12" ht="24.9" customHeight="1" x14ac:dyDescent="0.3">
      <c r="B53" s="45" t="s">
        <v>23</v>
      </c>
      <c r="C53" s="46"/>
      <c r="D53" s="52"/>
      <c r="E53" s="46">
        <f>Animais_de_Estimação23354759719510783[[#This Row],[Custo Estimado]]-Animais_de_Estimação23354759719510783[[#This Row],[Custo Real]]</f>
        <v>0</v>
      </c>
      <c r="F53" s="47"/>
      <c r="G53" s="59"/>
      <c r="H53" s="59"/>
      <c r="I53" s="59"/>
      <c r="J53" s="59"/>
    </row>
    <row r="54" spans="1:12" ht="24.9" customHeight="1" x14ac:dyDescent="0.3">
      <c r="B54" s="45" t="s">
        <v>23</v>
      </c>
      <c r="C54" s="46"/>
      <c r="D54" s="46"/>
      <c r="E54" s="46">
        <f>Animais_de_Estimação23354759719510783[[#This Row],[Custo Estimado]]-Animais_de_Estimação23354759719510783[[#This Row],[Custo Real]]</f>
        <v>0</v>
      </c>
      <c r="F54" s="47"/>
      <c r="G54" s="53" t="s">
        <v>22</v>
      </c>
      <c r="H54" s="54" t="s">
        <v>16</v>
      </c>
      <c r="I54" s="54" t="s">
        <v>15</v>
      </c>
      <c r="J54" s="54" t="s">
        <v>88</v>
      </c>
    </row>
    <row r="55" spans="1:12" ht="24.9" customHeight="1" x14ac:dyDescent="0.3">
      <c r="B55" s="45" t="s">
        <v>23</v>
      </c>
      <c r="C55" s="46"/>
      <c r="D55" s="46"/>
      <c r="E55" s="46">
        <f>Animais_de_Estimação23354759719510783[[#This Row],[Custo Estimado]]-Animais_de_Estimação23354759719510783[[#This Row],[Custo Real]]</f>
        <v>0</v>
      </c>
      <c r="F55" s="47"/>
      <c r="G55" s="45" t="s">
        <v>21</v>
      </c>
      <c r="H55" s="57"/>
      <c r="I55" s="57"/>
      <c r="J55" s="57">
        <f>Assuntos_Jurídicos24364860729610884[[#This Row],[Custo Estimado]]-Assuntos_Jurídicos24364860729610884[[#This Row],[Custo Real]]</f>
        <v>0</v>
      </c>
    </row>
    <row r="56" spans="1:12" ht="24.9" customHeight="1" x14ac:dyDescent="0.3">
      <c r="B56" s="51" t="s">
        <v>2</v>
      </c>
      <c r="C56" s="46"/>
      <c r="D56" s="52">
        <f>SUM(Animais_de_Estimação23354759719510783[Custo Real])</f>
        <v>0</v>
      </c>
      <c r="E56" s="46">
        <f>SUBTOTAL(109,Animais_de_Estimação23354759719510783[Variância])</f>
        <v>0</v>
      </c>
      <c r="F56" s="47"/>
      <c r="G56" s="45" t="s">
        <v>20</v>
      </c>
      <c r="H56" s="57"/>
      <c r="I56" s="57"/>
      <c r="J56" s="57">
        <f>Assuntos_Jurídicos24364860729610884[[#This Row],[Custo Estimado]]-Assuntos_Jurídicos24364860729610884[[#This Row],[Custo Real]]</f>
        <v>0</v>
      </c>
    </row>
    <row r="57" spans="1:12" ht="24.9" customHeight="1" x14ac:dyDescent="0.3">
      <c r="B57" s="59"/>
      <c r="C57" s="59"/>
      <c r="D57" s="59"/>
      <c r="E57" s="59"/>
      <c r="F57" s="47"/>
      <c r="G57" s="45" t="s">
        <v>19</v>
      </c>
      <c r="H57" s="57"/>
      <c r="I57" s="57"/>
      <c r="J57" s="57">
        <f>Assuntos_Jurídicos24364860729610884[[#This Row],[Custo Estimado]]-Assuntos_Jurídicos24364860729610884[[#This Row],[Custo Real]]</f>
        <v>0</v>
      </c>
    </row>
    <row r="58" spans="1:12" ht="24.9" customHeight="1" x14ac:dyDescent="0.3">
      <c r="A58" s="4" t="s">
        <v>18</v>
      </c>
      <c r="B58" s="53" t="s">
        <v>107</v>
      </c>
      <c r="C58" s="54" t="s">
        <v>16</v>
      </c>
      <c r="D58" s="54" t="s">
        <v>15</v>
      </c>
      <c r="E58" s="54" t="s">
        <v>88</v>
      </c>
      <c r="F58" s="47"/>
      <c r="G58" s="45" t="s">
        <v>4</v>
      </c>
      <c r="H58" s="57"/>
      <c r="I58" s="57"/>
      <c r="J58" s="57">
        <f>Assuntos_Jurídicos24364860729610884[[#This Row],[Custo Estimado]]-Assuntos_Jurídicos24364860729610884[[#This Row],[Custo Real]]</f>
        <v>0</v>
      </c>
    </row>
    <row r="59" spans="1:12" ht="24.9" customHeight="1" x14ac:dyDescent="0.3">
      <c r="B59" s="45" t="s">
        <v>118</v>
      </c>
      <c r="C59" s="46">
        <v>4000</v>
      </c>
      <c r="D59" s="46"/>
      <c r="E59" s="46">
        <f>CuidadosPessoais25374961739710985[[#This Row],[Custo Estimado]]-CuidadosPessoais25374961739710985[[#This Row],[Custo Real]]</f>
        <v>4000</v>
      </c>
      <c r="F59" s="47"/>
      <c r="G59" s="51" t="s">
        <v>2</v>
      </c>
      <c r="H59" s="46"/>
      <c r="I59" s="46"/>
      <c r="J59" s="46">
        <f>SUBTOTAL(109,Assuntos_Jurídicos24364860729610884[Variância])</f>
        <v>0</v>
      </c>
    </row>
    <row r="60" spans="1:12" ht="24.9" customHeight="1" x14ac:dyDescent="0.3">
      <c r="B60" s="45" t="s">
        <v>94</v>
      </c>
      <c r="C60" s="46">
        <v>20000</v>
      </c>
      <c r="D60" s="46"/>
      <c r="E60" s="46">
        <f>CuidadosPessoais25374961739710985[[#This Row],[Custo Estimado]]-CuidadosPessoais25374961739710985[[#This Row],[Custo Real]]</f>
        <v>20000</v>
      </c>
      <c r="F60" s="47"/>
      <c r="G60" s="59"/>
      <c r="H60" s="59"/>
      <c r="I60" s="59"/>
      <c r="J60" s="59"/>
      <c r="L60" s="31"/>
    </row>
    <row r="61" spans="1:12" ht="24.9" customHeight="1" x14ac:dyDescent="0.3">
      <c r="A61" s="4" t="s">
        <v>100</v>
      </c>
      <c r="B61" s="45" t="s">
        <v>10</v>
      </c>
      <c r="C61" s="46">
        <v>13000</v>
      </c>
      <c r="D61" s="46"/>
      <c r="E61" s="46">
        <f>CuidadosPessoais25374961739710985[[#This Row],[Custo Estimado]]-CuidadosPessoais25374961739710985[[#This Row],[Custo Real]]</f>
        <v>13000</v>
      </c>
      <c r="F61" s="47"/>
      <c r="G61" s="60" t="s">
        <v>9</v>
      </c>
      <c r="H61" s="60"/>
      <c r="I61" s="60"/>
      <c r="J61" s="61">
        <f>SUBTOTAL(109,Habitação1426385062869874[Custo Estimado],Transportes17294153658910177[Custo Estimado],Seguro18304254669010278[Custo Estimado],Comida21334557699310581[Custo Estimado],Animais_de_Estimação23354759719510783[Custo Estimado],CuidadosPessoais25374961739710985[Custo Estimado],Lazer1527395163879975[Custo Estimado],Empréstimos16284052648810076[Custo Estimado],Impostos19314355679110379[Custo Estimado],Poupanças20324456689210480[Custo Estimado],Presentes22344658709410682[Custo Estimado],Assuntos_Jurídicos24364860729610884[Custo Estimado])</f>
        <v>735916.66666666663</v>
      </c>
    </row>
    <row r="62" spans="1:12" ht="24.9" customHeight="1" x14ac:dyDescent="0.3">
      <c r="B62" s="45" t="s">
        <v>95</v>
      </c>
      <c r="C62" s="46">
        <v>16000</v>
      </c>
      <c r="D62" s="46"/>
      <c r="E62" s="46">
        <f>CuidadosPessoais25374961739710985[[#This Row],[Custo Estimado]]-CuidadosPessoais25374961739710985[[#This Row],[Custo Real]]</f>
        <v>16000</v>
      </c>
      <c r="F62" s="47"/>
      <c r="G62" s="60"/>
      <c r="H62" s="60"/>
      <c r="I62" s="60"/>
      <c r="J62" s="61"/>
    </row>
    <row r="63" spans="1:12" ht="24.9" customHeight="1" x14ac:dyDescent="0.3">
      <c r="B63" s="45" t="s">
        <v>7</v>
      </c>
      <c r="C63" s="46">
        <v>25000</v>
      </c>
      <c r="D63" s="46"/>
      <c r="E63" s="46">
        <f>CuidadosPessoais25374961739710985[[#This Row],[Custo Estimado]]-CuidadosPessoais25374961739710985[[#This Row],[Custo Real]]</f>
        <v>25000</v>
      </c>
      <c r="F63" s="47"/>
      <c r="G63" s="60" t="s">
        <v>6</v>
      </c>
      <c r="H63" s="60"/>
      <c r="I63" s="60"/>
      <c r="J63" s="61">
        <f>SUBTOTAL(109,Habitação1426385062869874[Custo real],Transportes17294153658910177[Custo Real],Seguro18304254669010278[Custo Real],Comida21334557699310581[Custo Real],Animais_de_Estimação23354759719510783[Custo Real],CuidadosPessoais25374961739710985[Custo Real],Lazer1527395163879975[Custo Real],Empréstimos16284052648810076[Custo Real],Impostos19314355679110379[Custo Real],Poupanças20324456689210480[Custo Real],Presentes22344658709410682[Custo Real],Assuntos_Jurídicos24364860729610884[Custo Real])</f>
        <v>0</v>
      </c>
    </row>
    <row r="64" spans="1:12" ht="24.9" customHeight="1" x14ac:dyDescent="0.3">
      <c r="B64" s="45" t="s">
        <v>108</v>
      </c>
      <c r="C64" s="46">
        <v>14000</v>
      </c>
      <c r="D64" s="46"/>
      <c r="E64" s="46">
        <f>CuidadosPessoais25374961739710985[[#This Row],[Custo Estimado]]-CuidadosPessoais25374961739710985[[#This Row],[Custo Real]]</f>
        <v>14000</v>
      </c>
      <c r="F64" s="47"/>
      <c r="G64" s="60"/>
      <c r="H64" s="60"/>
      <c r="I64" s="60"/>
      <c r="J64" s="61"/>
    </row>
    <row r="65" spans="2:10" ht="24.9" customHeight="1" x14ac:dyDescent="0.3">
      <c r="B65" s="45" t="s">
        <v>54</v>
      </c>
      <c r="C65" s="46"/>
      <c r="D65" s="46"/>
      <c r="E65" s="46">
        <f>CuidadosPessoais25374961739710985[[#This Row],[Custo Estimado]]-CuidadosPessoais25374961739710985[[#This Row],[Custo Real]]</f>
        <v>0</v>
      </c>
      <c r="F65" s="47"/>
      <c r="G65" s="60" t="s">
        <v>101</v>
      </c>
      <c r="H65" s="60"/>
      <c r="I65" s="60"/>
      <c r="J65" s="61">
        <f>J61-J63</f>
        <v>735916.66666666663</v>
      </c>
    </row>
    <row r="66" spans="2:10" ht="24.9" customHeight="1" x14ac:dyDescent="0.3">
      <c r="B66" s="51" t="s">
        <v>2</v>
      </c>
      <c r="C66" s="46"/>
      <c r="D66" s="46"/>
      <c r="E66" s="46">
        <f>SUBTOTAL(109,CuidadosPessoais25374961739710985[Variância])</f>
        <v>92000</v>
      </c>
      <c r="F66" s="47"/>
      <c r="G66" s="60"/>
      <c r="H66" s="60"/>
      <c r="I66" s="60"/>
      <c r="J66" s="61"/>
    </row>
    <row r="67" spans="2:10" x14ac:dyDescent="0.3">
      <c r="B67" s="78"/>
      <c r="C67" s="78"/>
      <c r="D67" s="78"/>
      <c r="E67" s="78"/>
    </row>
  </sheetData>
  <mergeCells count="23">
    <mergeCell ref="B67:E67"/>
    <mergeCell ref="G53:J53"/>
    <mergeCell ref="B57:E57"/>
    <mergeCell ref="G60:J60"/>
    <mergeCell ref="G61:I62"/>
    <mergeCell ref="J61:J62"/>
    <mergeCell ref="G63:I64"/>
    <mergeCell ref="J63:J64"/>
    <mergeCell ref="B2:J2"/>
    <mergeCell ref="B43:E43"/>
    <mergeCell ref="G47:J47"/>
    <mergeCell ref="G65:I66"/>
    <mergeCell ref="J65:J66"/>
    <mergeCell ref="B49:E49"/>
    <mergeCell ref="B26:E26"/>
    <mergeCell ref="G34:J34"/>
    <mergeCell ref="B36:E36"/>
    <mergeCell ref="G41:J41"/>
    <mergeCell ref="B4:C4"/>
    <mergeCell ref="E4:G9"/>
    <mergeCell ref="H4:H9"/>
    <mergeCell ref="B9:C9"/>
    <mergeCell ref="G25:J25"/>
  </mergeCells>
  <dataValidations count="12">
    <dataValidation allowBlank="1" showInputMessage="1" showErrorMessage="1" prompt="O Custo Total Estimado é calculado automaticamente na célula J61, o Custo Total Real na célula J63 e a Diferença Total na célula J65." sqref="A61"/>
    <dataValidation allowBlank="1" showInputMessage="1" showErrorMessage="1" prompt="Introduza os detalhes na tabela Cuidados Pessoais a partir da célula à direita e na tabela Assuntos Jurídicos a partir da célula G54. A instrução seguinte está na célula A61." sqref="A58"/>
    <dataValidation allowBlank="1" showInputMessage="1" showErrorMessage="1" prompt="Introduza os detalhes na tabela Animais de Estimação a partir da célula à direita e na tabela Presentes a partir da célula G48. A instrução seguinte está na célula A58." sqref="A50"/>
    <dataValidation allowBlank="1" showInputMessage="1" showErrorMessage="1" prompt="Introduza os detalhes na tabela Comida a partir da célula à direita e na tabela Poupanças a partir da célula G42. A instrução seguinte está na célula A50." sqref="A44"/>
    <dataValidation allowBlank="1" showInputMessage="1" showErrorMessage="1" prompt="Introduza os detalhes na tabela Seguros a partir da célula à direita e na tabela Impostos a partir da célula G35. A instrução seguinte está na célula A44." sqref="A37"/>
    <dataValidation allowBlank="1" showInputMessage="1" showErrorMessage="1" prompt="Introduza os detalhes na tabela Transportes a partir da célula à direita e na tabela Empréstimos a partir da célula G26. A instrução seguinte está na célula A37." sqref="A27"/>
    <dataValidation allowBlank="1" showInputMessage="1" showErrorMessage="1" prompt="Introduza os detalhes na tabela Habitação a partir da célula à direita e na tabela Lazer a partir da célula G14. A instrução seguinte está na célula A27." sqref="A14"/>
    <dataValidation allowBlank="1" showInputMessage="1" showErrorMessage="1" prompt="A etiqueta de Rendimento Mensal Real encontra-se na célula à direita. Introduza o Rendimento 1 na célula C10 e o Rendimento Extra na célula C11 para calcular o Rendimento mensal Total na célula C12. A instrução seguinte está na célula A14." sqref="A9"/>
    <dataValidation allowBlank="1" showInputMessage="1" showErrorMessage="1" prompt="O Saldo Estimado é calculado automaticamente na célula H4, o Saldo Real na célula H6 e a Diferença na célula H8. A instrução seguinte está na célula A9." sqref="A7"/>
    <dataValidation allowBlank="1" showInputMessage="1" showErrorMessage="1" prompt="A etiqueta de Rendimento Mensal Estimado encontra-se na célula à direita. Introduza o Rendimento 1 na célula C5 e o Rendimento Extra na célula C6 para calcular o Rendimento mensal Total na célula C7. A instrução seguinte está na célula A7." sqref="A4"/>
    <dataValidation allowBlank="1" showInputMessage="1" showErrorMessage="1" prompt="O título desta folha de cálculo encontra-se na célula C2. A instrução seguinte encontra-se na célula A4." sqref="A2"/>
    <dataValidation allowBlank="1" showInputMessage="1" showErrorMessage="1" prompt="Crie um Orçamento Mensal Pessoal nesta folha de cálculo. Existem instruções úteis sobre como utilizar esta folha de cálculo nas células desta coluna. Prima a Seta para Baixo para começar." sqref="A1"/>
  </dataValidations>
  <pageMargins left="0.7" right="0.7" top="0.75" bottom="0.75" header="0.3" footer="0.3"/>
  <pageSetup paperSize="9" fitToHeight="0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J67"/>
  <sheetViews>
    <sheetView showGridLines="0" topLeftCell="A10" zoomScale="66" zoomScaleNormal="66" workbookViewId="0">
      <selection activeCell="C24" sqref="C24"/>
    </sheetView>
  </sheetViews>
  <sheetFormatPr defaultColWidth="8.6640625" defaultRowHeight="13.8" x14ac:dyDescent="0.3"/>
  <cols>
    <col min="1" max="1" width="3.109375" style="4" customWidth="1"/>
    <col min="2" max="2" width="58.44140625" style="3" customWidth="1"/>
    <col min="3" max="3" width="18.6640625" style="3" customWidth="1"/>
    <col min="4" max="4" width="15.88671875" style="3" bestFit="1" customWidth="1"/>
    <col min="5" max="5" width="17" style="3" bestFit="1" customWidth="1"/>
    <col min="6" max="6" width="3.109375" style="3" customWidth="1"/>
    <col min="7" max="7" width="58.44140625" style="3" customWidth="1"/>
    <col min="8" max="8" width="32.5546875" style="3" bestFit="1" customWidth="1"/>
    <col min="9" max="9" width="15.88671875" style="3" bestFit="1" customWidth="1"/>
    <col min="10" max="10" width="20.88671875" style="3" customWidth="1"/>
    <col min="11" max="11" width="3.109375" style="3" customWidth="1"/>
    <col min="12" max="16384" width="8.6640625" style="3"/>
  </cols>
  <sheetData>
    <row r="1" spans="1:10" s="14" customFormat="1" ht="14.4" x14ac:dyDescent="0.3">
      <c r="A1" s="19" t="s">
        <v>73</v>
      </c>
    </row>
    <row r="2" spans="1:10" s="14" customFormat="1" ht="71.25" customHeight="1" x14ac:dyDescent="0.55000000000000004">
      <c r="A2" s="18" t="s">
        <v>72</v>
      </c>
      <c r="B2" s="17"/>
      <c r="C2" s="16" t="s">
        <v>81</v>
      </c>
      <c r="D2" s="15"/>
      <c r="E2" s="15"/>
      <c r="F2" s="15"/>
      <c r="G2" s="15"/>
      <c r="H2" s="15"/>
      <c r="I2" s="15"/>
      <c r="J2" s="15"/>
    </row>
    <row r="4" spans="1:10" ht="24.9" customHeight="1" x14ac:dyDescent="0.3">
      <c r="A4" s="4" t="s">
        <v>71</v>
      </c>
      <c r="B4" s="83" t="s">
        <v>70</v>
      </c>
      <c r="C4" s="84"/>
      <c r="D4" s="12"/>
      <c r="E4" s="85" t="s">
        <v>69</v>
      </c>
      <c r="F4" s="86"/>
      <c r="G4" s="87"/>
      <c r="H4" s="94">
        <f>C10-J63</f>
        <v>-396000</v>
      </c>
    </row>
    <row r="5" spans="1:10" ht="24.9" customHeight="1" x14ac:dyDescent="0.3">
      <c r="B5" s="8" t="s">
        <v>74</v>
      </c>
      <c r="C5" s="24">
        <v>170000</v>
      </c>
      <c r="E5" s="88"/>
      <c r="F5" s="89"/>
      <c r="G5" s="90"/>
      <c r="H5" s="95"/>
      <c r="I5" s="9"/>
    </row>
    <row r="6" spans="1:10" ht="24.9" customHeight="1" x14ac:dyDescent="0.3">
      <c r="B6" s="8" t="s">
        <v>75</v>
      </c>
      <c r="C6" s="24">
        <v>0</v>
      </c>
      <c r="E6" s="88"/>
      <c r="F6" s="89"/>
      <c r="G6" s="90"/>
      <c r="H6" s="95"/>
      <c r="I6" s="9"/>
    </row>
    <row r="7" spans="1:10" ht="24.9" customHeight="1" x14ac:dyDescent="0.3">
      <c r="A7" s="4" t="s">
        <v>68</v>
      </c>
      <c r="B7" s="8" t="s">
        <v>63</v>
      </c>
      <c r="C7" s="25">
        <f>SUM(C5:C6)</f>
        <v>170000</v>
      </c>
      <c r="E7" s="88"/>
      <c r="F7" s="89"/>
      <c r="G7" s="90"/>
      <c r="H7" s="95"/>
      <c r="I7" s="9"/>
    </row>
    <row r="8" spans="1:10" ht="24.9" customHeight="1" x14ac:dyDescent="0.3">
      <c r="B8" s="13"/>
      <c r="C8" s="13"/>
      <c r="D8" s="13"/>
      <c r="E8" s="88"/>
      <c r="F8" s="89"/>
      <c r="G8" s="90"/>
      <c r="H8" s="95"/>
      <c r="I8" s="9"/>
    </row>
    <row r="9" spans="1:10" ht="24.9" customHeight="1" x14ac:dyDescent="0.3">
      <c r="A9" s="4" t="s">
        <v>67</v>
      </c>
      <c r="B9" s="83" t="s">
        <v>66</v>
      </c>
      <c r="C9" s="97"/>
      <c r="D9" s="12"/>
      <c r="E9" s="91"/>
      <c r="F9" s="92"/>
      <c r="G9" s="93"/>
      <c r="H9" s="96"/>
      <c r="I9" s="11"/>
    </row>
    <row r="10" spans="1:10" ht="24.9" customHeight="1" x14ac:dyDescent="0.3">
      <c r="B10" s="8" t="s">
        <v>65</v>
      </c>
      <c r="C10" s="24">
        <v>170000</v>
      </c>
      <c r="I10" s="9"/>
    </row>
    <row r="11" spans="1:10" ht="24.9" customHeight="1" x14ac:dyDescent="0.3">
      <c r="A11" s="4" t="s">
        <v>82</v>
      </c>
      <c r="B11" s="8" t="s">
        <v>64</v>
      </c>
      <c r="C11" s="24">
        <v>0</v>
      </c>
      <c r="E11" s="9"/>
      <c r="H11" s="10"/>
      <c r="I11" s="9"/>
    </row>
    <row r="12" spans="1:10" ht="24.9" customHeight="1" x14ac:dyDescent="0.3">
      <c r="B12" s="8" t="s">
        <v>63</v>
      </c>
      <c r="C12" s="25">
        <f>SUM(C10:C11)</f>
        <v>170000</v>
      </c>
    </row>
    <row r="14" spans="1:10" ht="24.9" customHeight="1" x14ac:dyDescent="0.3">
      <c r="A14" s="4" t="s">
        <v>62</v>
      </c>
      <c r="B14" s="20" t="s">
        <v>61</v>
      </c>
      <c r="C14" s="22" t="s">
        <v>16</v>
      </c>
      <c r="D14" s="22" t="s">
        <v>15</v>
      </c>
      <c r="E14" s="22" t="s">
        <v>14</v>
      </c>
      <c r="F14" s="21"/>
      <c r="G14" s="20" t="s">
        <v>86</v>
      </c>
      <c r="H14" s="22" t="s">
        <v>16</v>
      </c>
      <c r="I14" s="22" t="s">
        <v>15</v>
      </c>
      <c r="J14" s="22" t="s">
        <v>14</v>
      </c>
    </row>
    <row r="15" spans="1:10" ht="24.9" customHeight="1" x14ac:dyDescent="0.3">
      <c r="B15" s="34" t="s">
        <v>60</v>
      </c>
      <c r="C15" s="30">
        <v>58000</v>
      </c>
      <c r="D15" s="30">
        <v>58000</v>
      </c>
      <c r="E15" s="30">
        <f>Habitação1426385062869874142638506274[[#This Row],[Custo Estimado]]-Habitação1426385062869874142638506274[[#This Row],[Custo Real]]</f>
        <v>0</v>
      </c>
      <c r="F15" s="35"/>
      <c r="G15" s="34" t="s">
        <v>4</v>
      </c>
      <c r="H15" s="39"/>
      <c r="I15" s="30"/>
      <c r="J15" s="30">
        <f>Lazer1527395163879975152739516375[[#This Row],[Custo Estimado]]-Lazer1527395163879975152739516375[[#This Row],[Custo Real]]</f>
        <v>0</v>
      </c>
    </row>
    <row r="16" spans="1:10" ht="24.9" customHeight="1" x14ac:dyDescent="0.3">
      <c r="B16" s="34" t="s">
        <v>59</v>
      </c>
      <c r="C16" s="30">
        <v>41000</v>
      </c>
      <c r="D16" s="30">
        <v>41000</v>
      </c>
      <c r="E16" s="30">
        <f>Habitação1426385062869874142638506274[[#This Row],[Custo Estimado]]-Habitação1426385062869874142638506274[[#This Row],[Custo Real]]</f>
        <v>0</v>
      </c>
      <c r="F16" s="35"/>
      <c r="G16" s="34" t="s">
        <v>78</v>
      </c>
      <c r="H16" s="30">
        <v>65000</v>
      </c>
      <c r="I16" s="30">
        <v>65000</v>
      </c>
      <c r="J16" s="30">
        <f>Lazer1527395163879975152739516375[[#This Row],[Custo Estimado]]-Lazer1527395163879975152739516375[[#This Row],[Custo Real]]</f>
        <v>0</v>
      </c>
    </row>
    <row r="17" spans="1:10" ht="24.9" customHeight="1" x14ac:dyDescent="0.3">
      <c r="B17" s="34" t="s">
        <v>58</v>
      </c>
      <c r="C17" s="30">
        <v>15000</v>
      </c>
      <c r="D17" s="30"/>
      <c r="E17" s="30">
        <f>Habitação1426385062869874142638506274[[#This Row],[Custo Estimado]]-Habitação1426385062869874142638506274[[#This Row],[Custo Real]]</f>
        <v>15000</v>
      </c>
      <c r="F17" s="35"/>
      <c r="G17" s="34" t="s">
        <v>77</v>
      </c>
      <c r="H17" s="30">
        <v>61000</v>
      </c>
      <c r="I17" s="30">
        <f>61000*3</f>
        <v>183000</v>
      </c>
      <c r="J17" s="30">
        <f>Lazer1527395163879975152739516375[[#This Row],[Custo Estimado]]-Lazer1527395163879975152739516375[[#This Row],[Custo Real]]</f>
        <v>-122000</v>
      </c>
    </row>
    <row r="18" spans="1:10" ht="24.9" customHeight="1" x14ac:dyDescent="0.3">
      <c r="B18" s="34" t="s">
        <v>42</v>
      </c>
      <c r="C18" s="30">
        <v>20000</v>
      </c>
      <c r="D18" s="30"/>
      <c r="E18" s="30">
        <f>Habitação1426385062869874142638506274[[#This Row],[Custo Estimado]]-Habitação1426385062869874142638506274[[#This Row],[Custo Real]]</f>
        <v>20000</v>
      </c>
      <c r="F18" s="35"/>
      <c r="G18" s="34" t="s">
        <v>57</v>
      </c>
      <c r="H18" s="30"/>
      <c r="I18" s="30"/>
      <c r="J18" s="30">
        <f>Lazer1527395163879975152739516375[[#This Row],[Custo Estimado]]-Lazer1527395163879975152739516375[[#This Row],[Custo Real]]</f>
        <v>0</v>
      </c>
    </row>
    <row r="19" spans="1:10" ht="24.9" customHeight="1" x14ac:dyDescent="0.3">
      <c r="B19" s="34" t="s">
        <v>56</v>
      </c>
      <c r="C19" s="30">
        <v>20000</v>
      </c>
      <c r="D19" s="30">
        <v>30000</v>
      </c>
      <c r="E19" s="30">
        <f>Habitação1426385062869874142638506274[[#This Row],[Custo Estimado]]-Habitação1426385062869874142638506274[[#This Row],[Custo Real]]</f>
        <v>-10000</v>
      </c>
      <c r="F19" s="35"/>
      <c r="G19" s="34" t="s">
        <v>76</v>
      </c>
      <c r="H19" s="30">
        <v>60000</v>
      </c>
      <c r="I19" s="30">
        <v>60000</v>
      </c>
      <c r="J19" s="30">
        <f>Lazer1527395163879975152739516375[[#This Row],[Custo Estimado]]-Lazer1527395163879975152739516375[[#This Row],[Custo Real]]</f>
        <v>0</v>
      </c>
    </row>
    <row r="20" spans="1:10" ht="24.9" customHeight="1" x14ac:dyDescent="0.3">
      <c r="B20" s="34" t="s">
        <v>55</v>
      </c>
      <c r="C20" s="30">
        <v>0</v>
      </c>
      <c r="D20" s="30"/>
      <c r="E20" s="30">
        <f>Habitação1426385062869874142638506274[[#This Row],[Custo Estimado]]-Habitação1426385062869874142638506274[[#This Row],[Custo Real]]</f>
        <v>0</v>
      </c>
      <c r="F20" s="35"/>
      <c r="G20" s="34" t="s">
        <v>54</v>
      </c>
      <c r="H20" s="30"/>
      <c r="I20" s="30"/>
      <c r="J20" s="30">
        <f>Lazer1527395163879975152739516375[[#This Row],[Custo Estimado]]-Lazer1527395163879975152739516375[[#This Row],[Custo Real]]</f>
        <v>0</v>
      </c>
    </row>
    <row r="21" spans="1:10" ht="24.9" customHeight="1" x14ac:dyDescent="0.3">
      <c r="B21" s="34" t="s">
        <v>83</v>
      </c>
      <c r="C21" s="30"/>
      <c r="D21" s="30"/>
      <c r="E21" s="30">
        <f>Habitação1426385062869874142638506274[[#This Row],[Custo Estimado]]-Habitação1426385062869874142638506274[[#This Row],[Custo Real]]</f>
        <v>0</v>
      </c>
      <c r="F21" s="35"/>
      <c r="G21" s="34" t="s">
        <v>54</v>
      </c>
      <c r="H21" s="30"/>
      <c r="I21" s="30"/>
      <c r="J21" s="30">
        <f>Lazer1527395163879975152739516375[[#This Row],[Custo Estimado]]-Lazer1527395163879975152739516375[[#This Row],[Custo Real]]</f>
        <v>0</v>
      </c>
    </row>
    <row r="22" spans="1:10" ht="24.9" customHeight="1" x14ac:dyDescent="0.3">
      <c r="B22" s="34" t="s">
        <v>83</v>
      </c>
      <c r="C22" s="30"/>
      <c r="D22" s="30"/>
      <c r="E22" s="30">
        <f>Habitação1426385062869874142638506274[[#This Row],[Custo Estimado]]-Habitação1426385062869874142638506274[[#This Row],[Custo Real]]</f>
        <v>0</v>
      </c>
      <c r="F22" s="35"/>
      <c r="G22" s="34" t="s">
        <v>54</v>
      </c>
      <c r="H22" s="30"/>
      <c r="I22" s="30"/>
      <c r="J22" s="30">
        <f>Lazer1527395163879975152739516375[[#This Row],[Custo Estimado]]-Lazer1527395163879975152739516375[[#This Row],[Custo Real]]</f>
        <v>0</v>
      </c>
    </row>
    <row r="23" spans="1:10" ht="24.9" customHeight="1" x14ac:dyDescent="0.3">
      <c r="B23" s="34" t="s">
        <v>53</v>
      </c>
      <c r="C23" s="30">
        <v>50000</v>
      </c>
      <c r="D23" s="30">
        <v>50000</v>
      </c>
      <c r="E23" s="30">
        <f>Habitação1426385062869874142638506274[[#This Row],[Custo Estimado]]-Habitação1426385062869874142638506274[[#This Row],[Custo Real]]</f>
        <v>0</v>
      </c>
      <c r="F23" s="35"/>
      <c r="G23" s="34" t="s">
        <v>4</v>
      </c>
      <c r="H23" s="30"/>
      <c r="I23" s="30"/>
      <c r="J23" s="30">
        <f>Lazer1527395163879975152739516375[[#This Row],[Custo Estimado]]-Lazer1527395163879975152739516375[[#This Row],[Custo Real]]</f>
        <v>0</v>
      </c>
    </row>
    <row r="24" spans="1:10" ht="24.9" customHeight="1" x14ac:dyDescent="0.3">
      <c r="B24" s="34" t="s">
        <v>52</v>
      </c>
      <c r="C24" s="30">
        <v>17000</v>
      </c>
      <c r="D24" s="30">
        <v>17000</v>
      </c>
      <c r="E24" s="30">
        <f>Habitação1426385062869874142638506274[[#This Row],[Custo Estimado]]-Habitação1426385062869874142638506274[[#This Row],[Custo Real]]</f>
        <v>0</v>
      </c>
      <c r="F24" s="35"/>
      <c r="G24" s="26" t="s">
        <v>2</v>
      </c>
      <c r="H24" s="27">
        <f>SUM(H15:H23)</f>
        <v>186000</v>
      </c>
      <c r="I24" s="27">
        <f>SUM(I15:I23)</f>
        <v>308000</v>
      </c>
      <c r="J24" s="27">
        <f>SUBTOTAL(109,Lazer1527395163879975152739516375[Diferença])</f>
        <v>-122000</v>
      </c>
    </row>
    <row r="25" spans="1:10" ht="24.9" customHeight="1" x14ac:dyDescent="0.3">
      <c r="B25" s="26" t="s">
        <v>2</v>
      </c>
      <c r="C25" s="27">
        <f>SUBTOTAL(109,Habitação1426385062869874142638506274[Custo Estimado])</f>
        <v>221000</v>
      </c>
      <c r="D25" s="27">
        <f>SUBTOTAL(109,Habitação1426385062869874142638506274[Custo Real])</f>
        <v>196000</v>
      </c>
      <c r="E25" s="27">
        <f>SUBTOTAL(109,Habitação1426385062869874142638506274[Diferença])</f>
        <v>25000</v>
      </c>
      <c r="F25" s="35"/>
      <c r="G25" s="81"/>
      <c r="H25" s="81"/>
      <c r="I25" s="81"/>
      <c r="J25" s="81"/>
    </row>
    <row r="26" spans="1:10" ht="24.9" customHeight="1" x14ac:dyDescent="0.3">
      <c r="B26" s="81"/>
      <c r="C26" s="81"/>
      <c r="D26" s="81"/>
      <c r="E26" s="81"/>
      <c r="F26" s="35"/>
      <c r="G26" s="37" t="s">
        <v>51</v>
      </c>
      <c r="H26" s="38" t="s">
        <v>16</v>
      </c>
      <c r="I26" s="38" t="s">
        <v>15</v>
      </c>
      <c r="J26" s="38" t="s">
        <v>14</v>
      </c>
    </row>
    <row r="27" spans="1:10" ht="24.9" customHeight="1" x14ac:dyDescent="0.3">
      <c r="A27" s="4" t="s">
        <v>50</v>
      </c>
      <c r="B27" s="37" t="s">
        <v>49</v>
      </c>
      <c r="C27" s="38" t="s">
        <v>16</v>
      </c>
      <c r="D27" s="38" t="s">
        <v>15</v>
      </c>
      <c r="E27" s="38" t="s">
        <v>14</v>
      </c>
      <c r="F27" s="35"/>
      <c r="G27" s="34" t="s">
        <v>48</v>
      </c>
      <c r="H27" s="39"/>
      <c r="I27" s="30"/>
      <c r="J27" s="30">
        <f>Empréstimos16284052648810076162840526476[[#This Row],[Custo Estimado]]-Empréstimos16284052648810076162840526476[[#This Row],[Custo Real]]</f>
        <v>0</v>
      </c>
    </row>
    <row r="28" spans="1:10" ht="24.9" customHeight="1" x14ac:dyDescent="0.3">
      <c r="B28" s="34" t="s">
        <v>47</v>
      </c>
      <c r="C28" s="30"/>
      <c r="D28" s="30"/>
      <c r="E28" s="30">
        <f>Transportes17294153658910177172941536577[[#This Row],[Custo Estimado]]-Transportes17294153658910177172941536577[[#This Row],[Custo Real]]</f>
        <v>0</v>
      </c>
      <c r="F28" s="35"/>
      <c r="G28" s="34" t="s">
        <v>46</v>
      </c>
      <c r="H28" s="39"/>
      <c r="I28" s="30"/>
      <c r="J28" s="30">
        <f>Empréstimos16284052648810076162840526476[[#This Row],[Custo Estimado]]-Empréstimos16284052648810076162840526476[[#This Row],[Custo Real]]</f>
        <v>0</v>
      </c>
    </row>
    <row r="29" spans="1:10" ht="24.9" customHeight="1" x14ac:dyDescent="0.3">
      <c r="B29" s="34" t="s">
        <v>45</v>
      </c>
      <c r="C29" s="30"/>
      <c r="D29" s="30"/>
      <c r="E29" s="30">
        <f>Transportes17294153658910177172941536577[[#This Row],[Custo Estimado]]-Transportes17294153658910177172941536577[[#This Row],[Custo Real]]</f>
        <v>0</v>
      </c>
      <c r="F29" s="35"/>
      <c r="G29" s="34" t="s">
        <v>43</v>
      </c>
      <c r="H29" s="39"/>
      <c r="I29" s="30"/>
      <c r="J29" s="30">
        <f>Empréstimos16284052648810076162840526476[[#This Row],[Custo Estimado]]-Empréstimos16284052648810076162840526476[[#This Row],[Custo Real]]</f>
        <v>0</v>
      </c>
    </row>
    <row r="30" spans="1:10" ht="24.9" customHeight="1" x14ac:dyDescent="0.3">
      <c r="B30" s="34" t="s">
        <v>85</v>
      </c>
      <c r="C30" s="30">
        <v>4000</v>
      </c>
      <c r="D30" s="30"/>
      <c r="E30" s="30">
        <f>Transportes17294153658910177172941536577[[#This Row],[Custo Estimado]]-Transportes17294153658910177172941536577[[#This Row],[Custo Real]]</f>
        <v>4000</v>
      </c>
      <c r="F30" s="35"/>
      <c r="G30" s="34" t="s">
        <v>43</v>
      </c>
      <c r="H30" s="39"/>
      <c r="I30" s="30"/>
      <c r="J30" s="30">
        <f>Empréstimos16284052648810076162840526476[[#This Row],[Custo Estimado]]-Empréstimos16284052648810076162840526476[[#This Row],[Custo Real]]</f>
        <v>0</v>
      </c>
    </row>
    <row r="31" spans="1:10" ht="24.9" customHeight="1" x14ac:dyDescent="0.3">
      <c r="B31" s="34" t="s">
        <v>44</v>
      </c>
      <c r="C31" s="30"/>
      <c r="D31" s="30"/>
      <c r="E31" s="30">
        <f>Transportes17294153658910177172941536577[[#This Row],[Custo Estimado]]-Transportes17294153658910177172941536577[[#This Row],[Custo Real]]</f>
        <v>0</v>
      </c>
      <c r="F31" s="35"/>
      <c r="G31" s="34" t="s">
        <v>43</v>
      </c>
      <c r="H31" s="39"/>
      <c r="I31" s="30"/>
      <c r="J31" s="30">
        <f>Empréstimos16284052648810076162840526476[[#This Row],[Custo Estimado]]-Empréstimos16284052648810076162840526476[[#This Row],[Custo Real]]</f>
        <v>0</v>
      </c>
    </row>
    <row r="32" spans="1:10" ht="24.9" customHeight="1" x14ac:dyDescent="0.3">
      <c r="B32" s="34" t="s">
        <v>42</v>
      </c>
      <c r="C32" s="30">
        <v>10000</v>
      </c>
      <c r="D32" s="30">
        <v>10000</v>
      </c>
      <c r="E32" s="30">
        <f>Transportes17294153658910177172941536577[[#This Row],[Custo Estimado]]-Transportes17294153658910177172941536577[[#This Row],[Custo Real]]</f>
        <v>0</v>
      </c>
      <c r="F32" s="35"/>
      <c r="G32" s="34" t="s">
        <v>4</v>
      </c>
      <c r="H32" s="39"/>
      <c r="I32" s="30"/>
      <c r="J32" s="30">
        <f>Empréstimos16284052648810076162840526476[[#This Row],[Custo Estimado]]-Empréstimos16284052648810076162840526476[[#This Row],[Custo Real]]</f>
        <v>0</v>
      </c>
    </row>
    <row r="33" spans="1:10" ht="24.9" customHeight="1" x14ac:dyDescent="0.3">
      <c r="B33" s="34" t="s">
        <v>84</v>
      </c>
      <c r="C33" s="30">
        <v>20000</v>
      </c>
      <c r="D33" s="30">
        <v>20000</v>
      </c>
      <c r="E33" s="30">
        <f>Transportes17294153658910177172941536577[[#This Row],[Custo Estimado]]-Transportes17294153658910177172941536577[[#This Row],[Custo Real]]</f>
        <v>0</v>
      </c>
      <c r="F33" s="35"/>
      <c r="G33" s="36" t="s">
        <v>2</v>
      </c>
      <c r="H33" s="39"/>
      <c r="I33" s="30"/>
      <c r="J33" s="30">
        <f>SUBTOTAL(109,Empréstimos16284052648810076162840526476[Diferença])</f>
        <v>0</v>
      </c>
    </row>
    <row r="34" spans="1:10" ht="24.9" customHeight="1" x14ac:dyDescent="0.3">
      <c r="B34" s="34" t="s">
        <v>4</v>
      </c>
      <c r="C34" s="30"/>
      <c r="D34" s="30"/>
      <c r="E34" s="30">
        <f>Transportes17294153658910177172941536577[[#This Row],[Custo Estimado]]-Transportes17294153658910177172941536577[[#This Row],[Custo Real]]</f>
        <v>0</v>
      </c>
      <c r="F34" s="35"/>
      <c r="G34" s="81"/>
      <c r="H34" s="81"/>
      <c r="I34" s="81"/>
      <c r="J34" s="81"/>
    </row>
    <row r="35" spans="1:10" ht="24.9" customHeight="1" x14ac:dyDescent="0.3">
      <c r="B35" s="28" t="s">
        <v>2</v>
      </c>
      <c r="C35" s="29">
        <f>SUM(C28:C34)</f>
        <v>34000</v>
      </c>
      <c r="D35" s="29">
        <f>SUM(D28:D34)</f>
        <v>30000</v>
      </c>
      <c r="E35" s="29">
        <f>SUBTOTAL(109,Transportes17294153658910177172941536577[Diferença])</f>
        <v>4000</v>
      </c>
      <c r="F35" s="35"/>
      <c r="G35" s="37" t="s">
        <v>41</v>
      </c>
      <c r="H35" s="38" t="s">
        <v>16</v>
      </c>
      <c r="I35" s="38" t="s">
        <v>15</v>
      </c>
      <c r="J35" s="38" t="s">
        <v>14</v>
      </c>
    </row>
    <row r="36" spans="1:10" ht="24.9" customHeight="1" x14ac:dyDescent="0.3">
      <c r="B36" s="81"/>
      <c r="C36" s="81"/>
      <c r="D36" s="81"/>
      <c r="E36" s="81"/>
      <c r="F36" s="35"/>
      <c r="G36" s="34" t="s">
        <v>40</v>
      </c>
      <c r="H36" s="30"/>
      <c r="I36" s="30"/>
      <c r="J36" s="30">
        <f>Impostos19314355679110379193143556779[[#This Row],[Custo Estimado]]-Impostos19314355679110379193143556779[[#This Row],[Custo Real]]</f>
        <v>0</v>
      </c>
    </row>
    <row r="37" spans="1:10" ht="24.9" customHeight="1" x14ac:dyDescent="0.3">
      <c r="A37" s="4" t="s">
        <v>39</v>
      </c>
      <c r="B37" s="37" t="s">
        <v>38</v>
      </c>
      <c r="C37" s="38" t="s">
        <v>16</v>
      </c>
      <c r="D37" s="38" t="s">
        <v>15</v>
      </c>
      <c r="E37" s="38" t="s">
        <v>14</v>
      </c>
      <c r="F37" s="35"/>
      <c r="G37" s="34" t="s">
        <v>37</v>
      </c>
      <c r="H37" s="30"/>
      <c r="I37" s="30"/>
      <c r="J37" s="30">
        <f>Impostos19314355679110379193143556779[[#This Row],[Custo Estimado]]-Impostos19314355679110379193143556779[[#This Row],[Custo Real]]</f>
        <v>0</v>
      </c>
    </row>
    <row r="38" spans="1:10" ht="24.9" customHeight="1" x14ac:dyDescent="0.3">
      <c r="B38" s="34" t="s">
        <v>36</v>
      </c>
      <c r="C38" s="30">
        <v>0</v>
      </c>
      <c r="D38" s="30"/>
      <c r="E38" s="30">
        <f>Seguro18304254669010278183042546678[[#This Row],[Custo Estimado]]-Seguro18304254669010278183042546678[[#This Row],[Custo Real]]</f>
        <v>0</v>
      </c>
      <c r="F38" s="35"/>
      <c r="G38" s="34" t="s">
        <v>35</v>
      </c>
      <c r="H38" s="30"/>
      <c r="I38" s="30"/>
      <c r="J38" s="30">
        <f>Impostos19314355679110379193143556779[[#This Row],[Custo Estimado]]-Impostos19314355679110379193143556779[[#This Row],[Custo Real]]</f>
        <v>0</v>
      </c>
    </row>
    <row r="39" spans="1:10" ht="24.9" customHeight="1" x14ac:dyDescent="0.3">
      <c r="B39" s="34" t="s">
        <v>34</v>
      </c>
      <c r="C39" s="30">
        <v>20000</v>
      </c>
      <c r="D39" s="30">
        <v>0</v>
      </c>
      <c r="E39" s="30">
        <f>Seguro18304254669010278183042546678[[#This Row],[Custo Estimado]]-Seguro18304254669010278183042546678[[#This Row],[Custo Real]]</f>
        <v>20000</v>
      </c>
      <c r="F39" s="35"/>
      <c r="G39" s="34" t="s">
        <v>4</v>
      </c>
      <c r="H39" s="30"/>
      <c r="I39" s="30"/>
      <c r="J39" s="30">
        <f>Impostos19314355679110379193143556779[[#This Row],[Custo Estimado]]-Impostos19314355679110379193143556779[[#This Row],[Custo Real]]</f>
        <v>0</v>
      </c>
    </row>
    <row r="40" spans="1:10" ht="24.9" customHeight="1" x14ac:dyDescent="0.3">
      <c r="B40" s="34" t="s">
        <v>33</v>
      </c>
      <c r="C40" s="30"/>
      <c r="D40" s="30">
        <v>0</v>
      </c>
      <c r="E40" s="30">
        <f>Seguro18304254669010278183042546678[[#This Row],[Custo Estimado]]-Seguro18304254669010278183042546678[[#This Row],[Custo Real]]</f>
        <v>0</v>
      </c>
      <c r="F40" s="35"/>
      <c r="G40" s="36" t="s">
        <v>2</v>
      </c>
      <c r="H40" s="30"/>
      <c r="I40" s="30"/>
      <c r="J40" s="30">
        <f>SUBTOTAL(109,Impostos19314355679110379193143556779[Diferença])</f>
        <v>0</v>
      </c>
    </row>
    <row r="41" spans="1:10" ht="24.9" customHeight="1" x14ac:dyDescent="0.3">
      <c r="B41" s="34" t="s">
        <v>4</v>
      </c>
      <c r="C41" s="30"/>
      <c r="D41" s="30"/>
      <c r="E41" s="30">
        <f>Seguro18304254669010278183042546678[[#This Row],[Custo Estimado]]-Seguro18304254669010278183042546678[[#This Row],[Custo Real]]</f>
        <v>0</v>
      </c>
      <c r="F41" s="35"/>
      <c r="G41" s="81"/>
      <c r="H41" s="81"/>
      <c r="I41" s="81"/>
      <c r="J41" s="81"/>
    </row>
    <row r="42" spans="1:10" ht="24.9" customHeight="1" x14ac:dyDescent="0.3">
      <c r="B42" s="26" t="s">
        <v>2</v>
      </c>
      <c r="C42" s="27">
        <f>SUM(C38:C41)</f>
        <v>20000</v>
      </c>
      <c r="D42" s="27">
        <f>SUM(D38:D41)</f>
        <v>0</v>
      </c>
      <c r="E42" s="27">
        <f>SUBTOTAL(109,Seguro18304254669010278183042546678[Diferença])</f>
        <v>20000</v>
      </c>
      <c r="F42" s="35"/>
      <c r="G42" s="37" t="s">
        <v>32</v>
      </c>
      <c r="H42" s="38" t="s">
        <v>16</v>
      </c>
      <c r="I42" s="38" t="s">
        <v>15</v>
      </c>
      <c r="J42" s="38" t="s">
        <v>14</v>
      </c>
    </row>
    <row r="43" spans="1:10" ht="24.9" customHeight="1" x14ac:dyDescent="0.3">
      <c r="B43" s="81"/>
      <c r="C43" s="81"/>
      <c r="D43" s="81"/>
      <c r="E43" s="81"/>
      <c r="F43" s="35"/>
      <c r="G43" s="34" t="s">
        <v>31</v>
      </c>
      <c r="H43" s="39"/>
      <c r="I43" s="39"/>
      <c r="J43" s="39"/>
    </row>
    <row r="44" spans="1:10" ht="24.9" customHeight="1" x14ac:dyDescent="0.3">
      <c r="A44" s="4" t="s">
        <v>30</v>
      </c>
      <c r="B44" s="37" t="s">
        <v>29</v>
      </c>
      <c r="C44" s="38" t="s">
        <v>16</v>
      </c>
      <c r="D44" s="38" t="s">
        <v>15</v>
      </c>
      <c r="E44" s="38" t="s">
        <v>14</v>
      </c>
      <c r="F44" s="35"/>
      <c r="G44" s="34" t="s">
        <v>28</v>
      </c>
      <c r="H44" s="39"/>
      <c r="I44" s="39"/>
      <c r="J44" s="39"/>
    </row>
    <row r="45" spans="1:10" ht="24.9" customHeight="1" x14ac:dyDescent="0.3">
      <c r="B45" s="34" t="s">
        <v>79</v>
      </c>
      <c r="C45" s="30">
        <v>40000</v>
      </c>
      <c r="D45" s="30"/>
      <c r="E45" s="30">
        <f>Comida21334557699310581213345576981[[#This Row],[Custo Estimado]]-Comida21334557699310581213345576981[[#This Row],[Custo Real]]</f>
        <v>40000</v>
      </c>
      <c r="F45" s="35"/>
      <c r="G45" s="34" t="s">
        <v>4</v>
      </c>
      <c r="H45" s="39"/>
      <c r="I45" s="39"/>
      <c r="J45" s="39"/>
    </row>
    <row r="46" spans="1:10" ht="24.9" customHeight="1" x14ac:dyDescent="0.3">
      <c r="B46" s="34" t="s">
        <v>27</v>
      </c>
      <c r="C46" s="30">
        <v>40000</v>
      </c>
      <c r="D46" s="30"/>
      <c r="E46" s="30">
        <f>Comida21334557699310581213345576981[[#This Row],[Custo Estimado]]-Comida21334557699310581213345576981[[#This Row],[Custo Real]]</f>
        <v>40000</v>
      </c>
      <c r="F46" s="35"/>
      <c r="G46" s="36" t="s">
        <v>2</v>
      </c>
      <c r="H46" s="39"/>
      <c r="I46" s="39"/>
      <c r="J46" s="30">
        <f>SUBTOTAL(109,Poupanças20324456689210480203244566880[Diferença])</f>
        <v>0</v>
      </c>
    </row>
    <row r="47" spans="1:10" ht="24.9" customHeight="1" x14ac:dyDescent="0.3">
      <c r="B47" s="34" t="s">
        <v>87</v>
      </c>
      <c r="C47" s="30"/>
      <c r="D47" s="30">
        <v>32000</v>
      </c>
      <c r="E47" s="30">
        <f>Comida21334557699310581213345576981[[#This Row],[Custo Estimado]]-Comida21334557699310581213345576981[[#This Row],[Custo Real]]</f>
        <v>-32000</v>
      </c>
      <c r="F47" s="35"/>
      <c r="G47" s="81"/>
      <c r="H47" s="81"/>
      <c r="I47" s="81"/>
      <c r="J47" s="81"/>
    </row>
    <row r="48" spans="1:10" ht="24.9" customHeight="1" x14ac:dyDescent="0.3">
      <c r="B48" s="28" t="s">
        <v>2</v>
      </c>
      <c r="C48" s="29">
        <f>SUM(Comida21334557699310581213345576981[Custo Estimado])</f>
        <v>80000</v>
      </c>
      <c r="D48" s="29">
        <f>SUM(Comida21334557699310581213345576981[Custo Real])</f>
        <v>32000</v>
      </c>
      <c r="E48" s="29">
        <f>SUBTOTAL(109,Comida21334557699310581213345576981[Diferença])</f>
        <v>48000</v>
      </c>
      <c r="F48" s="35"/>
      <c r="G48" s="37" t="s">
        <v>26</v>
      </c>
      <c r="H48" s="38" t="s">
        <v>16</v>
      </c>
      <c r="I48" s="38" t="s">
        <v>15</v>
      </c>
      <c r="J48" s="38" t="s">
        <v>14</v>
      </c>
    </row>
    <row r="49" spans="1:10" ht="24.9" customHeight="1" x14ac:dyDescent="0.3">
      <c r="B49" s="81"/>
      <c r="C49" s="81"/>
      <c r="D49" s="81"/>
      <c r="E49" s="81"/>
      <c r="F49" s="35"/>
      <c r="G49" s="34" t="s">
        <v>25</v>
      </c>
      <c r="H49" s="30"/>
      <c r="I49" s="30"/>
      <c r="J49" s="30">
        <f>Presentes22344658709410682223446587082[[#This Row],[Custo Estimado]]-Presentes22344658709410682223446587082[[#This Row],[Custo Real]]</f>
        <v>0</v>
      </c>
    </row>
    <row r="50" spans="1:10" ht="24.9" customHeight="1" x14ac:dyDescent="0.3">
      <c r="A50" s="4" t="s">
        <v>24</v>
      </c>
      <c r="B50" s="37" t="s">
        <v>80</v>
      </c>
      <c r="C50" s="38" t="s">
        <v>16</v>
      </c>
      <c r="D50" s="38" t="s">
        <v>15</v>
      </c>
      <c r="E50" s="38" t="s">
        <v>14</v>
      </c>
      <c r="F50" s="35"/>
      <c r="G50" s="34" t="s">
        <v>25</v>
      </c>
      <c r="H50" s="30"/>
      <c r="I50" s="30"/>
      <c r="J50" s="30">
        <f>Presentes22344658709410682223446587082[[#This Row],[Custo Estimado]]-Presentes22344658709410682223446587082[[#This Row],[Custo Real]]</f>
        <v>0</v>
      </c>
    </row>
    <row r="51" spans="1:10" ht="24.9" customHeight="1" x14ac:dyDescent="0.3">
      <c r="B51" s="34" t="s">
        <v>23</v>
      </c>
      <c r="C51" s="30"/>
      <c r="D51" s="30"/>
      <c r="E51" s="30">
        <f>Animais_de_Estimação23354759719510783233547597183[[#This Row],[Custo Estimado]]-Animais_de_Estimação23354759719510783233547597183[[#This Row],[Custo Real]]</f>
        <v>0</v>
      </c>
      <c r="F51" s="35"/>
      <c r="G51" s="34" t="s">
        <v>25</v>
      </c>
      <c r="H51" s="30"/>
      <c r="I51" s="30"/>
      <c r="J51" s="30">
        <f>Presentes22344658709410682223446587082[[#This Row],[Custo Estimado]]-Presentes22344658709410682223446587082[[#This Row],[Custo Real]]</f>
        <v>0</v>
      </c>
    </row>
    <row r="52" spans="1:10" ht="24.9" customHeight="1" x14ac:dyDescent="0.3">
      <c r="B52" s="34" t="s">
        <v>23</v>
      </c>
      <c r="C52" s="30"/>
      <c r="D52" s="30"/>
      <c r="E52" s="30">
        <f>Animais_de_Estimação23354759719510783233547597183[[#This Row],[Custo Estimado]]-Animais_de_Estimação23354759719510783233547597183[[#This Row],[Custo Real]]</f>
        <v>0</v>
      </c>
      <c r="F52" s="35"/>
      <c r="G52" s="36" t="s">
        <v>2</v>
      </c>
      <c r="H52" s="30"/>
      <c r="I52" s="30">
        <f>SUM(Presentes22344658709410682223446587082[Custo Real])</f>
        <v>0</v>
      </c>
      <c r="J52" s="30">
        <f>SUBTOTAL(109,Presentes22344658709410682223446587082[Diferença])</f>
        <v>0</v>
      </c>
    </row>
    <row r="53" spans="1:10" ht="24.9" customHeight="1" x14ac:dyDescent="0.3">
      <c r="B53" s="34" t="s">
        <v>23</v>
      </c>
      <c r="C53" s="30"/>
      <c r="D53" s="30"/>
      <c r="E53" s="30">
        <f>Animais_de_Estimação23354759719510783233547597183[[#This Row],[Custo Estimado]]-Animais_de_Estimação23354759719510783233547597183[[#This Row],[Custo Real]]</f>
        <v>0</v>
      </c>
      <c r="F53" s="35"/>
      <c r="G53" s="81"/>
      <c r="H53" s="81"/>
      <c r="I53" s="81"/>
      <c r="J53" s="81"/>
    </row>
    <row r="54" spans="1:10" ht="24.9" customHeight="1" x14ac:dyDescent="0.3">
      <c r="B54" s="34" t="s">
        <v>23</v>
      </c>
      <c r="C54" s="30"/>
      <c r="D54" s="30"/>
      <c r="E54" s="30">
        <f>Animais_de_Estimação23354759719510783233547597183[[#This Row],[Custo Estimado]]-Animais_de_Estimação23354759719510783233547597183[[#This Row],[Custo Real]]</f>
        <v>0</v>
      </c>
      <c r="F54" s="35"/>
      <c r="G54" s="37" t="s">
        <v>22</v>
      </c>
      <c r="H54" s="38" t="s">
        <v>16</v>
      </c>
      <c r="I54" s="38" t="s">
        <v>15</v>
      </c>
      <c r="J54" s="38" t="s">
        <v>14</v>
      </c>
    </row>
    <row r="55" spans="1:10" ht="24.9" customHeight="1" x14ac:dyDescent="0.3">
      <c r="B55" s="34" t="s">
        <v>23</v>
      </c>
      <c r="C55" s="30"/>
      <c r="D55" s="30"/>
      <c r="E55" s="30">
        <f>Animais_de_Estimação23354759719510783233547597183[[#This Row],[Custo Estimado]]-Animais_de_Estimação23354759719510783233547597183[[#This Row],[Custo Real]]</f>
        <v>0</v>
      </c>
      <c r="F55" s="35"/>
      <c r="G55" s="34" t="s">
        <v>21</v>
      </c>
      <c r="H55" s="30"/>
      <c r="I55" s="30"/>
      <c r="J55" s="30">
        <f>Assuntos_Jurídicos24364860729610884243648607284[[#This Row],[Custo Estimado]]-Assuntos_Jurídicos24364860729610884243648607284[[#This Row],[Custo Real]]</f>
        <v>0</v>
      </c>
    </row>
    <row r="56" spans="1:10" ht="24.9" customHeight="1" x14ac:dyDescent="0.3">
      <c r="B56" s="36" t="s">
        <v>2</v>
      </c>
      <c r="C56" s="30"/>
      <c r="D56" s="30">
        <f>SUM(Animais_de_Estimação23354759719510783233547597183[Custo Real])</f>
        <v>0</v>
      </c>
      <c r="E56" s="30">
        <f>SUBTOTAL(109,Animais_de_Estimação23354759719510783233547597183[Diferença])</f>
        <v>0</v>
      </c>
      <c r="F56" s="35"/>
      <c r="G56" s="34" t="s">
        <v>20</v>
      </c>
      <c r="H56" s="30"/>
      <c r="I56" s="30"/>
      <c r="J56" s="30">
        <f>Assuntos_Jurídicos24364860729610884243648607284[[#This Row],[Custo Estimado]]-Assuntos_Jurídicos24364860729610884243648607284[[#This Row],[Custo Real]]</f>
        <v>0</v>
      </c>
    </row>
    <row r="57" spans="1:10" ht="24.9" customHeight="1" x14ac:dyDescent="0.3">
      <c r="B57" s="81"/>
      <c r="C57" s="81"/>
      <c r="D57" s="81"/>
      <c r="E57" s="81"/>
      <c r="F57" s="35"/>
      <c r="G57" s="34" t="s">
        <v>19</v>
      </c>
      <c r="H57" s="30"/>
      <c r="I57" s="30"/>
      <c r="J57" s="30">
        <f>Assuntos_Jurídicos24364860729610884243648607284[[#This Row],[Custo Estimado]]-Assuntos_Jurídicos24364860729610884243648607284[[#This Row],[Custo Real]]</f>
        <v>0</v>
      </c>
    </row>
    <row r="58" spans="1:10" ht="24.9" customHeight="1" x14ac:dyDescent="0.3">
      <c r="A58" s="4" t="s">
        <v>18</v>
      </c>
      <c r="B58" s="37" t="s">
        <v>17</v>
      </c>
      <c r="C58" s="38" t="s">
        <v>16</v>
      </c>
      <c r="D58" s="38" t="s">
        <v>15</v>
      </c>
      <c r="E58" s="38" t="s">
        <v>14</v>
      </c>
      <c r="F58" s="35"/>
      <c r="G58" s="34" t="s">
        <v>4</v>
      </c>
      <c r="H58" s="30"/>
      <c r="I58" s="30"/>
      <c r="J58" s="30">
        <f>Assuntos_Jurídicos24364860729610884243648607284[[#This Row],[Custo Estimado]]-Assuntos_Jurídicos24364860729610884243648607284[[#This Row],[Custo Real]]</f>
        <v>0</v>
      </c>
    </row>
    <row r="59" spans="1:10" ht="24.9" customHeight="1" x14ac:dyDescent="0.3">
      <c r="B59" s="7" t="s">
        <v>13</v>
      </c>
      <c r="C59" s="23"/>
      <c r="D59" s="23"/>
      <c r="E59" s="23">
        <f>CuidadosPessoais25374961739710985253749617385[[#This Row],[Custo Estimado]]-CuidadosPessoais25374961739710985253749617385[[#This Row],[Custo Real]]</f>
        <v>0</v>
      </c>
      <c r="F59" s="5"/>
      <c r="G59" s="6" t="s">
        <v>2</v>
      </c>
      <c r="H59" s="23"/>
      <c r="I59" s="23"/>
      <c r="J59" s="23">
        <f>SUBTOTAL(109,Assuntos_Jurídicos24364860729610884243648607284[Diferença])</f>
        <v>0</v>
      </c>
    </row>
    <row r="60" spans="1:10" ht="24.9" customHeight="1" x14ac:dyDescent="0.3">
      <c r="B60" s="7" t="s">
        <v>12</v>
      </c>
      <c r="C60" s="23"/>
      <c r="D60" s="23"/>
      <c r="E60" s="23">
        <f>CuidadosPessoais25374961739710985253749617385[[#This Row],[Custo Estimado]]-CuidadosPessoais25374961739710985253749617385[[#This Row],[Custo Real]]</f>
        <v>0</v>
      </c>
      <c r="F60" s="5"/>
      <c r="G60" s="82"/>
      <c r="H60" s="82"/>
      <c r="I60" s="82"/>
      <c r="J60" s="82"/>
    </row>
    <row r="61" spans="1:10" ht="24.9" customHeight="1" x14ac:dyDescent="0.3">
      <c r="A61" s="4" t="s">
        <v>11</v>
      </c>
      <c r="B61" s="7" t="s">
        <v>10</v>
      </c>
      <c r="C61" s="23"/>
      <c r="D61" s="23"/>
      <c r="E61" s="23">
        <f>CuidadosPessoais25374961739710985253749617385[[#This Row],[Custo Estimado]]-CuidadosPessoais25374961739710985253749617385[[#This Row],[Custo Real]]</f>
        <v>0</v>
      </c>
      <c r="F61" s="5"/>
      <c r="G61" s="79" t="s">
        <v>9</v>
      </c>
      <c r="H61" s="79"/>
      <c r="I61" s="79"/>
      <c r="J61" s="80">
        <f>SUBTOTAL(109,Habitação1426385062869874142638506274[Custo Estimado],Transportes17294153658910177172941536577[Custo Estimado],Seguro18304254669010278183042546678[Custo Estimado],Comida21334557699310581213345576981[Custo Estimado],Animais_de_Estimação23354759719510783233547597183[Custo Estimado],CuidadosPessoais25374961739710985253749617385[Custo Estimado],Lazer1527395163879975152739516375[Custo Estimado],Empréstimos16284052648810076162840526476[Custo Estimado],Impostos19314355679110379193143556779[Custo Estimado],Poupanças20324456689210480203244566880[Custo Estimado],Presentes22344658709410682223446587082[Custo Estimado],Assuntos_Jurídicos24364860729610884243648607284[Custo Estimado])</f>
        <v>541000</v>
      </c>
    </row>
    <row r="62" spans="1:10" ht="24.9" customHeight="1" x14ac:dyDescent="0.3">
      <c r="B62" s="7" t="s">
        <v>8</v>
      </c>
      <c r="C62" s="23"/>
      <c r="D62" s="23"/>
      <c r="E62" s="23">
        <f>CuidadosPessoais25374961739710985253749617385[[#This Row],[Custo Estimado]]-CuidadosPessoais25374961739710985253749617385[[#This Row],[Custo Real]]</f>
        <v>0</v>
      </c>
      <c r="F62" s="5"/>
      <c r="G62" s="79"/>
      <c r="H62" s="79"/>
      <c r="I62" s="79"/>
      <c r="J62" s="80"/>
    </row>
    <row r="63" spans="1:10" ht="24.9" customHeight="1" x14ac:dyDescent="0.3">
      <c r="B63" s="7" t="s">
        <v>7</v>
      </c>
      <c r="C63" s="23"/>
      <c r="D63" s="23"/>
      <c r="E63" s="23">
        <f>CuidadosPessoais25374961739710985253749617385[[#This Row],[Custo Estimado]]-CuidadosPessoais25374961739710985253749617385[[#This Row],[Custo Real]]</f>
        <v>0</v>
      </c>
      <c r="F63" s="5"/>
      <c r="G63" s="79" t="s">
        <v>6</v>
      </c>
      <c r="H63" s="79"/>
      <c r="I63" s="79"/>
      <c r="J63" s="80">
        <f>SUBTOTAL(109,Habitação1426385062869874142638506274[Custo Real],Transportes17294153658910177172941536577[Custo Real],Seguro18304254669010278183042546678[Custo Real],Comida21334557699310581213345576981[Custo Real],Animais_de_Estimação23354759719510783233547597183[Custo Real],CuidadosPessoais25374961739710985253749617385[Custo Real],Lazer1527395163879975152739516375[Custo Real],Empréstimos16284052648810076162840526476[Custo Real],Impostos19314355679110379193143556779[Custo Real],Poupanças20324456689210480203244566880[Custo Real],Presentes22344658709410682223446587082[Custo Real],Assuntos_Jurídicos24364860729610884243648607284[Custo Real])</f>
        <v>566000</v>
      </c>
    </row>
    <row r="64" spans="1:10" ht="24.9" customHeight="1" x14ac:dyDescent="0.3">
      <c r="B64" s="7" t="s">
        <v>5</v>
      </c>
      <c r="C64" s="23"/>
      <c r="D64" s="23"/>
      <c r="E64" s="23">
        <f>CuidadosPessoais25374961739710985253749617385[[#This Row],[Custo Estimado]]-CuidadosPessoais25374961739710985253749617385[[#This Row],[Custo Real]]</f>
        <v>0</v>
      </c>
      <c r="F64" s="5"/>
      <c r="G64" s="79"/>
      <c r="H64" s="79"/>
      <c r="I64" s="79"/>
      <c r="J64" s="80"/>
    </row>
    <row r="65" spans="2:10" ht="24.9" customHeight="1" x14ac:dyDescent="0.3">
      <c r="B65" s="7" t="s">
        <v>4</v>
      </c>
      <c r="C65" s="23"/>
      <c r="D65" s="23"/>
      <c r="E65" s="23">
        <f>CuidadosPessoais25374961739710985253749617385[[#This Row],[Custo Estimado]]-CuidadosPessoais25374961739710985253749617385[[#This Row],[Custo Real]]</f>
        <v>0</v>
      </c>
      <c r="F65" s="5"/>
      <c r="G65" s="79" t="s">
        <v>3</v>
      </c>
      <c r="H65" s="79"/>
      <c r="I65" s="79"/>
      <c r="J65" s="80">
        <f>J61-J63</f>
        <v>-25000</v>
      </c>
    </row>
    <row r="66" spans="2:10" ht="24.9" customHeight="1" x14ac:dyDescent="0.3">
      <c r="B66" s="6" t="s">
        <v>2</v>
      </c>
      <c r="C66" s="23"/>
      <c r="D66" s="23"/>
      <c r="E66" s="23">
        <f>SUBTOTAL(109,CuidadosPessoais25374961739710985253749617385[Diferença])</f>
        <v>0</v>
      </c>
      <c r="F66" s="5"/>
      <c r="G66" s="79"/>
      <c r="H66" s="79"/>
      <c r="I66" s="79"/>
      <c r="J66" s="80"/>
    </row>
    <row r="67" spans="2:10" x14ac:dyDescent="0.3">
      <c r="B67" s="78"/>
      <c r="C67" s="78"/>
      <c r="D67" s="78"/>
      <c r="E67" s="78"/>
    </row>
  </sheetData>
  <mergeCells count="22">
    <mergeCell ref="B49:E49"/>
    <mergeCell ref="B4:C4"/>
    <mergeCell ref="E4:G9"/>
    <mergeCell ref="H4:H9"/>
    <mergeCell ref="B9:C9"/>
    <mergeCell ref="G25:J25"/>
    <mergeCell ref="B26:E26"/>
    <mergeCell ref="G34:J34"/>
    <mergeCell ref="B36:E36"/>
    <mergeCell ref="G41:J41"/>
    <mergeCell ref="B43:E43"/>
    <mergeCell ref="G47:J47"/>
    <mergeCell ref="G65:I66"/>
    <mergeCell ref="J65:J66"/>
    <mergeCell ref="B67:E67"/>
    <mergeCell ref="G53:J53"/>
    <mergeCell ref="B57:E57"/>
    <mergeCell ref="G60:J60"/>
    <mergeCell ref="G61:I62"/>
    <mergeCell ref="J61:J62"/>
    <mergeCell ref="G63:I64"/>
    <mergeCell ref="J63:J64"/>
  </mergeCells>
  <dataValidations count="12">
    <dataValidation allowBlank="1" showInputMessage="1" showErrorMessage="1" prompt="O Custo Total Estimado é calculado automaticamente na célula J61, o Custo Total Real na célula J63 e a Diferença Total na célula J65." sqref="A61"/>
    <dataValidation allowBlank="1" showInputMessage="1" showErrorMessage="1" prompt="Introduza os detalhes na tabela Cuidados Pessoais a partir da célula à direita e na tabela Assuntos Jurídicos a partir da célula G54. A instrução seguinte está na célula A61." sqref="A58"/>
    <dataValidation allowBlank="1" showInputMessage="1" showErrorMessage="1" prompt="Introduza os detalhes na tabela Animais de Estimação a partir da célula à direita e na tabela Presentes a partir da célula G48. A instrução seguinte está na célula A58." sqref="A50"/>
    <dataValidation allowBlank="1" showInputMessage="1" showErrorMessage="1" prompt="Introduza os detalhes na tabela Comida a partir da célula à direita e na tabela Poupanças a partir da célula G42. A instrução seguinte está na célula A50." sqref="A44"/>
    <dataValidation allowBlank="1" showInputMessage="1" showErrorMessage="1" prompt="Introduza os detalhes na tabela Seguros a partir da célula à direita e na tabela Impostos a partir da célula G35. A instrução seguinte está na célula A44." sqref="A37"/>
    <dataValidation allowBlank="1" showInputMessage="1" showErrorMessage="1" prompt="Introduza os detalhes na tabela Transportes a partir da célula à direita e na tabela Empréstimos a partir da célula G26. A instrução seguinte está na célula A37." sqref="A27"/>
    <dataValidation allowBlank="1" showInputMessage="1" showErrorMessage="1" prompt="Introduza os detalhes na tabela Habitação a partir da célula à direita e na tabela Lazer a partir da célula G14. A instrução seguinte está na célula A27." sqref="A14"/>
    <dataValidation allowBlank="1" showInputMessage="1" showErrorMessage="1" prompt="A etiqueta de Rendimento Mensal Real encontra-se na célula à direita. Introduza o Rendimento 1 na célula C10 e o Rendimento Extra na célula C11 para calcular o Rendimento mensal Total na célula C12. A instrução seguinte está na célula A14." sqref="A9"/>
    <dataValidation allowBlank="1" showInputMessage="1" showErrorMessage="1" prompt="O Saldo Estimado é calculado automaticamente na célula H4, o Saldo Real na célula H6 e a Diferença na célula H8. A instrução seguinte está na célula A9." sqref="A7"/>
    <dataValidation allowBlank="1" showInputMessage="1" showErrorMessage="1" prompt="A etiqueta de Rendimento Mensal Estimado encontra-se na célula à direita. Introduza o Rendimento 1 na célula C5 e o Rendimento Extra na célula C6 para calcular o Rendimento mensal Total na célula C7. A instrução seguinte está na célula A7." sqref="A4"/>
    <dataValidation allowBlank="1" showInputMessage="1" showErrorMessage="1" prompt="O título desta folha de cálculo encontra-se na célula C2. A instrução seguinte encontra-se na célula A4." sqref="A2"/>
    <dataValidation allowBlank="1" showInputMessage="1" showErrorMessage="1" prompt="Crie um Orçamento Mensal Pessoal nesta folha de cálculo. Existem instruções úteis sobre como utilizar esta folha de cálculo nas células desta coluna. Prima a Seta para Baixo para começar." sqref="A1"/>
  </dataValidations>
  <pageMargins left="0.7" right="0.7" top="0.75" bottom="0.75" header="0.3" footer="0.3"/>
  <pageSetup paperSize="9" fitToHeight="0" orientation="portrait" r:id="rId1"/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Início</vt:lpstr>
      <vt:lpstr>Jan</vt:lpstr>
      <vt:lpstr>Jul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Van-Dúnem</dc:creator>
  <cp:lastModifiedBy>Antonio Van-Dúnem</cp:lastModifiedBy>
  <dcterms:created xsi:type="dcterms:W3CDTF">2021-01-07T14:54:50Z</dcterms:created>
  <dcterms:modified xsi:type="dcterms:W3CDTF">2024-05-16T10:24:47Z</dcterms:modified>
</cp:coreProperties>
</file>